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квартал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<sst xmlns="http://schemas.openxmlformats.org/spreadsheetml/2006/main" count="81" uniqueCount="64">
  <si>
    <t>Муниципальные образования</t>
  </si>
  <si>
    <t>г.п. Березово</t>
  </si>
  <si>
    <t>г.п. Игрим</t>
  </si>
  <si>
    <t>с.п. Саранпауль</t>
  </si>
  <si>
    <t>с.п. Светлый</t>
  </si>
  <si>
    <t>с.п. Хулимсунт</t>
  </si>
  <si>
    <t>с.п. Приполярный</t>
  </si>
  <si>
    <t>Итого по поселениям</t>
  </si>
  <si>
    <t>ст. 210</t>
  </si>
  <si>
    <t>Необходимый объем расходных обязательств</t>
  </si>
  <si>
    <t>распределение дотации</t>
  </si>
  <si>
    <t xml:space="preserve"> налоговые доходы поступившие  за отчетный период </t>
  </si>
  <si>
    <t>Объем дотации на поддержку мер по обеспечению сбалансированности бюджетов поселений района</t>
  </si>
  <si>
    <t>сумма (SUM (Hi/БОфi)</t>
  </si>
  <si>
    <t>таблица 2</t>
  </si>
  <si>
    <t>*</t>
  </si>
  <si>
    <r>
      <t xml:space="preserve">Налоговые и неналоговые доходы   </t>
    </r>
    <r>
      <rPr>
        <b/>
        <sz val="10"/>
        <color indexed="10"/>
        <rFont val="Times New Roman"/>
        <family val="1"/>
      </rPr>
      <t>(ПДi)</t>
    </r>
  </si>
  <si>
    <r>
      <t xml:space="preserve">Безвозмездные поступления </t>
    </r>
    <r>
      <rPr>
        <b/>
        <sz val="10"/>
        <color indexed="10"/>
        <rFont val="Times New Roman"/>
        <family val="1"/>
      </rPr>
      <t>(БПi)</t>
    </r>
  </si>
  <si>
    <r>
      <t xml:space="preserve">Всего расходные обязательства </t>
    </r>
    <r>
      <rPr>
        <b/>
        <sz val="10"/>
        <color indexed="10"/>
        <rFont val="Times New Roman"/>
        <family val="1"/>
      </rPr>
      <t>( Pi )</t>
    </r>
  </si>
  <si>
    <r>
      <t xml:space="preserve">ст.260 </t>
    </r>
    <r>
      <rPr>
        <b/>
        <sz val="10"/>
        <color indexed="10"/>
        <rFont val="Times New Roman"/>
        <family val="1"/>
      </rPr>
      <t>( COi)</t>
    </r>
  </si>
  <si>
    <r>
      <t xml:space="preserve">ст.221 </t>
    </r>
    <r>
      <rPr>
        <b/>
        <sz val="10"/>
        <color indexed="10"/>
        <rFont val="Times New Roman"/>
        <family val="1"/>
      </rPr>
      <t>(УС)</t>
    </r>
  </si>
  <si>
    <r>
      <t xml:space="preserve">ст.223 </t>
    </r>
    <r>
      <rPr>
        <b/>
        <sz val="10"/>
        <color indexed="10"/>
        <rFont val="Times New Roman"/>
        <family val="1"/>
      </rPr>
      <t>(КУ)</t>
    </r>
  </si>
  <si>
    <r>
      <t xml:space="preserve"> ст. 222  </t>
    </r>
    <r>
      <rPr>
        <b/>
        <sz val="10"/>
        <color indexed="10"/>
        <rFont val="Times New Roman"/>
        <family val="1"/>
      </rPr>
      <t>(ТУi)</t>
    </r>
  </si>
  <si>
    <r>
      <t xml:space="preserve">ст.224 </t>
    </r>
    <r>
      <rPr>
        <b/>
        <sz val="10"/>
        <color indexed="10"/>
        <rFont val="Times New Roman"/>
        <family val="1"/>
      </rPr>
      <t>(АП)</t>
    </r>
  </si>
  <si>
    <r>
      <t xml:space="preserve">ст.230 </t>
    </r>
    <r>
      <rPr>
        <b/>
        <sz val="10"/>
        <color indexed="10"/>
        <rFont val="Times New Roman"/>
        <family val="1"/>
      </rPr>
      <t>(МД)</t>
    </r>
  </si>
  <si>
    <r>
      <t>ст.340</t>
    </r>
    <r>
      <rPr>
        <b/>
        <sz val="10"/>
        <color indexed="10"/>
        <rFont val="Times New Roman"/>
        <family val="1"/>
      </rPr>
      <t xml:space="preserve">     (МЗ)</t>
    </r>
  </si>
  <si>
    <r>
      <t xml:space="preserve">ст.241  </t>
    </r>
    <r>
      <rPr>
        <b/>
        <sz val="10"/>
        <color indexed="10"/>
        <rFont val="Times New Roman"/>
        <family val="1"/>
      </rPr>
      <t>(БП)</t>
    </r>
  </si>
  <si>
    <r>
      <t xml:space="preserve">ст.242 </t>
    </r>
    <r>
      <rPr>
        <b/>
        <sz val="10"/>
        <color indexed="10"/>
        <rFont val="Times New Roman"/>
        <family val="1"/>
      </rPr>
      <t>(БП)</t>
    </r>
  </si>
  <si>
    <r>
      <t xml:space="preserve">ст.225 </t>
    </r>
    <r>
      <rPr>
        <b/>
        <sz val="10"/>
        <color indexed="10"/>
        <rFont val="Times New Roman"/>
        <family val="1"/>
      </rPr>
      <t>(СИ)</t>
    </r>
  </si>
  <si>
    <r>
      <t xml:space="preserve">ст.226 </t>
    </r>
    <r>
      <rPr>
        <b/>
        <sz val="10"/>
        <color indexed="10"/>
        <rFont val="Times New Roman"/>
        <family val="1"/>
      </rPr>
      <t>(ПУ)</t>
    </r>
  </si>
  <si>
    <r>
      <t xml:space="preserve">ст. 290 </t>
    </r>
    <r>
      <rPr>
        <b/>
        <sz val="10"/>
        <color indexed="10"/>
        <rFont val="Times New Roman"/>
        <family val="1"/>
      </rPr>
      <t>(ПР)</t>
    </r>
  </si>
  <si>
    <r>
      <t>ст. 310</t>
    </r>
    <r>
      <rPr>
        <b/>
        <sz val="10"/>
        <color indexed="10"/>
        <rFont val="Times New Roman"/>
        <family val="1"/>
      </rPr>
      <t xml:space="preserve"> (КВ)</t>
    </r>
  </si>
  <si>
    <r>
      <t>численность</t>
    </r>
    <r>
      <rPr>
        <b/>
        <sz val="10"/>
        <color indexed="10"/>
        <rFont val="Times New Roman"/>
        <family val="1"/>
      </rPr>
      <t xml:space="preserve"> (Нас I)</t>
    </r>
  </si>
  <si>
    <r>
      <t xml:space="preserve">уровень фактической бюджетной обеспеченности             </t>
    </r>
    <r>
      <rPr>
        <b/>
        <sz val="10"/>
        <color indexed="10"/>
        <rFont val="Times New Roman"/>
        <family val="1"/>
      </rPr>
      <t>(БОфi)</t>
    </r>
  </si>
  <si>
    <r>
      <t xml:space="preserve">Итого к распределению </t>
    </r>
    <r>
      <rPr>
        <b/>
        <sz val="10"/>
        <color indexed="10"/>
        <rFont val="Times New Roman"/>
        <family val="1"/>
      </rPr>
      <t>(ДСБi)</t>
    </r>
  </si>
  <si>
    <t>ст. 310</t>
  </si>
  <si>
    <t>ст. 251</t>
  </si>
  <si>
    <r>
      <t>Доходы бюджета-2014</t>
    </r>
    <r>
      <rPr>
        <b/>
        <sz val="10"/>
        <color indexed="10"/>
        <rFont val="Times New Roman"/>
        <family val="1"/>
      </rPr>
      <t xml:space="preserve">  D i = Oi+Пдi+БПi</t>
    </r>
  </si>
  <si>
    <r>
      <t xml:space="preserve">Остатки собственных средств на 1.01.2014     </t>
    </r>
    <r>
      <rPr>
        <b/>
        <sz val="10"/>
        <color indexed="10"/>
        <rFont val="Times New Roman"/>
        <family val="1"/>
      </rPr>
      <t>(Oi)</t>
    </r>
  </si>
  <si>
    <t>ст. 212</t>
  </si>
  <si>
    <r>
      <t xml:space="preserve">ст.212 </t>
    </r>
    <r>
      <rPr>
        <b/>
        <sz val="9"/>
        <color indexed="10"/>
        <rFont val="Times New Roman"/>
        <family val="1"/>
      </rPr>
      <t>(ПВ)</t>
    </r>
  </si>
  <si>
    <t>с учетом указа</t>
  </si>
  <si>
    <t>ст. 221</t>
  </si>
  <si>
    <t>ст. 223 +1,05%</t>
  </si>
  <si>
    <t xml:space="preserve">ст.222 </t>
  </si>
  <si>
    <t>ст. 224</t>
  </si>
  <si>
    <t>ст. 340</t>
  </si>
  <si>
    <t>ст. 241</t>
  </si>
  <si>
    <t xml:space="preserve">ст. 242 </t>
  </si>
  <si>
    <t xml:space="preserve">ст. 226 </t>
  </si>
  <si>
    <t>ст. 290</t>
  </si>
  <si>
    <t xml:space="preserve">ст. 225 </t>
  </si>
  <si>
    <r>
      <t xml:space="preserve">полученные дотации               </t>
    </r>
    <r>
      <rPr>
        <b/>
        <sz val="10"/>
        <color indexed="10"/>
        <rFont val="Times New Roman"/>
        <family val="1"/>
      </rPr>
      <t xml:space="preserve"> (ДВС i)</t>
    </r>
  </si>
  <si>
    <r>
      <t xml:space="preserve">индекс бюджетных расходов          </t>
    </r>
    <r>
      <rPr>
        <b/>
        <sz val="10"/>
        <color indexed="10"/>
        <rFont val="Times New Roman"/>
        <family val="1"/>
      </rPr>
      <t>(ИБР i)</t>
    </r>
  </si>
  <si>
    <r>
      <t>среднедушевые налоговые доходы  за отчетный период</t>
    </r>
    <r>
      <rPr>
        <b/>
        <sz val="10"/>
        <color indexed="10"/>
        <rFont val="Times New Roman"/>
        <family val="1"/>
      </rPr>
      <t xml:space="preserve">              (HD i)</t>
    </r>
  </si>
  <si>
    <r>
      <t xml:space="preserve">недостаток доходов            </t>
    </r>
    <r>
      <rPr>
        <b/>
        <sz val="10"/>
        <color indexed="10"/>
        <rFont val="Times New Roman"/>
        <family val="1"/>
      </rPr>
      <t xml:space="preserve"> Hi= (Pi-Di)</t>
    </r>
  </si>
  <si>
    <t>ст. 260</t>
  </si>
  <si>
    <r>
      <rPr>
        <b/>
        <sz val="9"/>
        <rFont val="Times New Roman"/>
        <family val="1"/>
      </rPr>
      <t xml:space="preserve">ст.210=(211++ +213)   </t>
    </r>
    <r>
      <rPr>
        <b/>
        <sz val="9"/>
        <color indexed="10"/>
        <rFont val="Times New Roman"/>
        <family val="1"/>
      </rPr>
      <t xml:space="preserve">               (ЗПi) </t>
    </r>
  </si>
  <si>
    <r>
      <rPr>
        <b/>
        <sz val="8"/>
        <color indexed="10"/>
        <rFont val="Times New Roman"/>
        <family val="1"/>
      </rPr>
      <t>за исключением</t>
    </r>
    <r>
      <rPr>
        <b/>
        <sz val="8"/>
        <color indexed="10"/>
        <rFont val="Calibri"/>
        <family val="2"/>
      </rPr>
      <t xml:space="preserve"> -698,2 средства на возмещение пожара</t>
    </r>
  </si>
  <si>
    <t>возм. по страховым случаям</t>
  </si>
  <si>
    <t>по сост на 01.10.2014</t>
  </si>
  <si>
    <t>уточн годов план  на 01.10.2014</t>
  </si>
  <si>
    <t>за исключением -3564,5 (2012) средства Югория на пожар + 3171,4  (2014)</t>
  </si>
  <si>
    <t>по итогам 9 месяцев 2014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</si>
</sst>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_(* #,##0_);_(* \(#,##0\);_(* &quot;-&quot;??_);_(@_)"/>
    <numFmt numFmtId="186" formatCode="_(* #,##0.0_);_(* \(#,##0.0\);_(* &quot;-&quot;??_);_(@_)"/>
    <numFmt numFmtId="187" formatCode="_-* #,##0.0_р_._-;\-* #,##0.0_р_._-;_-* &quot;-&quot;?_р_._-;_-@_-"/>
    <numFmt numFmtId="188" formatCode="0.0"/>
    <numFmt numFmtId="189" formatCode="0.00000"/>
    <numFmt numFmtId="190" formatCode="0.0000"/>
    <numFmt numFmtId="191" formatCode="0.000000"/>
    <numFmt numFmtId="192" formatCode="_-* #,##0.00_р_._-;\-* #,##0.00_р_._-;_-* &quot;-&quot;?_р_._-;_-@_-"/>
  </numFmts>
  <fonts count="59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2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37" fillId="0" borderId="0" xfId="52">
      <alignment/>
      <protection/>
    </xf>
    <xf numFmtId="0" fontId="37" fillId="0" borderId="0" xfId="58">
      <alignment/>
      <protection/>
    </xf>
    <xf numFmtId="186" fontId="37" fillId="0" borderId="0" xfId="58" applyNumberFormat="1">
      <alignment/>
      <protection/>
    </xf>
    <xf numFmtId="0" fontId="0" fillId="0" borderId="0" xfId="56">
      <alignment/>
      <protection/>
    </xf>
    <xf numFmtId="0" fontId="4" fillId="0" borderId="0" xfId="56" applyFont="1">
      <alignment/>
      <protection/>
    </xf>
    <xf numFmtId="43" fontId="0" fillId="0" borderId="0" xfId="56" applyNumberFormat="1">
      <alignment/>
      <protection/>
    </xf>
    <xf numFmtId="0" fontId="2" fillId="0" borderId="0" xfId="57" applyFont="1" applyAlignment="1">
      <alignment horizontal="fill"/>
      <protection/>
    </xf>
    <xf numFmtId="0" fontId="0" fillId="0" borderId="0" xfId="57" applyAlignment="1">
      <alignment horizontal="fill"/>
      <protection/>
    </xf>
    <xf numFmtId="0" fontId="3" fillId="0" borderId="0" xfId="57" applyFont="1" applyAlignment="1">
      <alignment horizontal="fill"/>
      <protection/>
    </xf>
    <xf numFmtId="0" fontId="0" fillId="0" borderId="10" xfId="0" applyBorder="1" applyAlignment="1">
      <alignment/>
    </xf>
    <xf numFmtId="0" fontId="1" fillId="0" borderId="11" xfId="55" applyFont="1" applyBorder="1" applyAlignment="1" applyProtection="1">
      <alignment horizontal="center"/>
      <protection locked="0"/>
    </xf>
    <xf numFmtId="0" fontId="1" fillId="0" borderId="12" xfId="55" applyFont="1" applyBorder="1" applyAlignment="1" applyProtection="1">
      <alignment horizontal="center"/>
      <protection locked="0"/>
    </xf>
    <xf numFmtId="0" fontId="0" fillId="33" borderId="13" xfId="0" applyFill="1" applyBorder="1" applyAlignment="1">
      <alignment vertical="center" wrapText="1"/>
    </xf>
    <xf numFmtId="187" fontId="0" fillId="0" borderId="0" xfId="0" applyNumberFormat="1" applyAlignment="1">
      <alignment/>
    </xf>
    <xf numFmtId="0" fontId="1" fillId="33" borderId="12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86" fontId="0" fillId="0" borderId="0" xfId="0" applyNumberFormat="1" applyAlignment="1">
      <alignment/>
    </xf>
    <xf numFmtId="0" fontId="5" fillId="0" borderId="16" xfId="54" applyFont="1" applyFill="1" applyBorder="1" applyProtection="1">
      <alignment/>
      <protection locked="0"/>
    </xf>
    <xf numFmtId="0" fontId="5" fillId="0" borderId="0" xfId="0" applyFont="1" applyAlignment="1">
      <alignment/>
    </xf>
    <xf numFmtId="0" fontId="6" fillId="0" borderId="0" xfId="52" applyFont="1">
      <alignment/>
      <protection/>
    </xf>
    <xf numFmtId="0" fontId="7" fillId="0" borderId="14" xfId="53" applyFont="1" applyBorder="1" applyAlignment="1" applyProtection="1">
      <alignment horizontal="center" wrapText="1"/>
      <protection locked="0"/>
    </xf>
    <xf numFmtId="0" fontId="7" fillId="34" borderId="14" xfId="53" applyFont="1" applyFill="1" applyBorder="1" applyAlignment="1" applyProtection="1">
      <alignment horizontal="center" wrapText="1"/>
      <protection locked="0"/>
    </xf>
    <xf numFmtId="0" fontId="7" fillId="35" borderId="14" xfId="53" applyFont="1" applyFill="1" applyBorder="1" applyAlignment="1" applyProtection="1">
      <alignment horizontal="center" wrapText="1"/>
      <protection locked="0"/>
    </xf>
    <xf numFmtId="0" fontId="7" fillId="0" borderId="14" xfId="53" applyFont="1" applyFill="1" applyBorder="1" applyAlignment="1" applyProtection="1">
      <alignment horizontal="center" wrapText="1"/>
      <protection locked="0"/>
    </xf>
    <xf numFmtId="0" fontId="7" fillId="0" borderId="13" xfId="53" applyFont="1" applyBorder="1" applyProtection="1">
      <alignment/>
      <protection locked="0"/>
    </xf>
    <xf numFmtId="0" fontId="7" fillId="36" borderId="13" xfId="53" applyFont="1" applyFill="1" applyBorder="1" applyAlignment="1" applyProtection="1">
      <alignment wrapText="1"/>
      <protection locked="0"/>
    </xf>
    <xf numFmtId="0" fontId="7" fillId="0" borderId="17" xfId="54" applyFont="1" applyBorder="1" applyAlignment="1" applyProtection="1">
      <alignment horizontal="center" wrapText="1"/>
      <protection locked="0"/>
    </xf>
    <xf numFmtId="0" fontId="7" fillId="35" borderId="17" xfId="55" applyFont="1" applyFill="1" applyBorder="1" applyAlignment="1" applyProtection="1">
      <alignment horizontal="center" wrapText="1"/>
      <protection locked="0"/>
    </xf>
    <xf numFmtId="0" fontId="7" fillId="0" borderId="17" xfId="55" applyFont="1" applyBorder="1" applyAlignment="1" applyProtection="1">
      <alignment horizontal="center" wrapText="1"/>
      <protection locked="0"/>
    </xf>
    <xf numFmtId="0" fontId="9" fillId="35" borderId="17" xfId="55" applyFont="1" applyFill="1" applyBorder="1" applyAlignment="1" applyProtection="1">
      <alignment horizontal="center" wrapText="1"/>
      <protection locked="0"/>
    </xf>
    <xf numFmtId="0" fontId="7" fillId="0" borderId="17" xfId="55" applyFont="1" applyFill="1" applyBorder="1" applyAlignment="1" applyProtection="1">
      <alignment horizontal="center" wrapText="1"/>
      <protection locked="0"/>
    </xf>
    <xf numFmtId="0" fontId="7" fillId="0" borderId="13" xfId="54" applyFont="1" applyBorder="1" applyProtection="1">
      <alignment/>
      <protection locked="0"/>
    </xf>
    <xf numFmtId="186" fontId="3" fillId="35" borderId="13" xfId="68" applyNumberFormat="1" applyFont="1" applyFill="1" applyBorder="1" applyAlignment="1" applyProtection="1">
      <alignment wrapText="1"/>
      <protection locked="0"/>
    </xf>
    <xf numFmtId="186" fontId="3" fillId="0" borderId="13" xfId="68" applyNumberFormat="1" applyFont="1" applyBorder="1" applyAlignment="1" applyProtection="1">
      <alignment wrapText="1"/>
      <protection locked="0"/>
    </xf>
    <xf numFmtId="186" fontId="3" fillId="0" borderId="13" xfId="68" applyNumberFormat="1" applyFont="1" applyBorder="1" applyAlignment="1" applyProtection="1">
      <alignment horizontal="center" vertical="center" wrapText="1"/>
      <protection locked="0"/>
    </xf>
    <xf numFmtId="186" fontId="3" fillId="35" borderId="13" xfId="68" applyNumberFormat="1" applyFont="1" applyFill="1" applyBorder="1" applyAlignment="1" applyProtection="1">
      <alignment horizontal="center" vertical="center" wrapText="1"/>
      <protection locked="0"/>
    </xf>
    <xf numFmtId="186" fontId="3" fillId="0" borderId="13" xfId="68" applyNumberFormat="1" applyFont="1" applyBorder="1" applyAlignment="1" applyProtection="1">
      <alignment/>
      <protection locked="0"/>
    </xf>
    <xf numFmtId="186" fontId="3" fillId="0" borderId="13" xfId="68" applyNumberFormat="1" applyFont="1" applyFill="1" applyBorder="1" applyAlignment="1" applyProtection="1">
      <alignment/>
      <protection locked="0"/>
    </xf>
    <xf numFmtId="186" fontId="3" fillId="35" borderId="13" xfId="68" applyNumberFormat="1" applyFont="1" applyFill="1" applyBorder="1" applyAlignment="1" applyProtection="1">
      <alignment/>
      <protection locked="0"/>
    </xf>
    <xf numFmtId="0" fontId="7" fillId="0" borderId="17" xfId="56" applyFont="1" applyFill="1" applyBorder="1" applyAlignment="1">
      <alignment horizontal="center" wrapText="1"/>
      <protection/>
    </xf>
    <xf numFmtId="0" fontId="7" fillId="0" borderId="18" xfId="56" applyFont="1" applyFill="1" applyBorder="1" applyAlignment="1">
      <alignment horizontal="center" wrapText="1"/>
      <protection/>
    </xf>
    <xf numFmtId="0" fontId="7" fillId="0" borderId="18" xfId="56" applyFont="1" applyBorder="1" applyAlignment="1">
      <alignment horizontal="center" wrapText="1"/>
      <protection/>
    </xf>
    <xf numFmtId="0" fontId="11" fillId="0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0" borderId="17" xfId="56" applyFont="1" applyBorder="1">
      <alignment/>
      <protection/>
    </xf>
    <xf numFmtId="2" fontId="3" fillId="0" borderId="17" xfId="56" applyNumberFormat="1" applyFont="1" applyFill="1" applyBorder="1" applyAlignment="1">
      <alignment horizontal="center"/>
      <protection/>
    </xf>
    <xf numFmtId="0" fontId="7" fillId="0" borderId="13" xfId="56" applyFont="1" applyBorder="1">
      <alignment/>
      <protection/>
    </xf>
    <xf numFmtId="2" fontId="3" fillId="0" borderId="13" xfId="56" applyNumberFormat="1" applyFont="1" applyFill="1" applyBorder="1" applyAlignment="1">
      <alignment horizontal="center"/>
      <protection/>
    </xf>
    <xf numFmtId="0" fontId="7" fillId="36" borderId="13" xfId="56" applyFont="1" applyFill="1" applyBorder="1" applyAlignment="1">
      <alignment wrapText="1"/>
      <protection/>
    </xf>
    <xf numFmtId="0" fontId="7" fillId="0" borderId="19" xfId="54" applyFont="1" applyBorder="1" applyAlignment="1" applyProtection="1">
      <alignment horizontal="center" wrapText="1"/>
      <protection locked="0"/>
    </xf>
    <xf numFmtId="186" fontId="3" fillId="0" borderId="13" xfId="69" applyNumberFormat="1" applyFont="1" applyFill="1" applyBorder="1" applyAlignment="1">
      <alignment horizontal="center"/>
    </xf>
    <xf numFmtId="186" fontId="7" fillId="36" borderId="13" xfId="69" applyNumberFormat="1" applyFont="1" applyFill="1" applyBorder="1" applyAlignment="1">
      <alignment horizontal="center" vertical="center" wrapText="1"/>
    </xf>
    <xf numFmtId="2" fontId="7" fillId="36" borderId="13" xfId="56" applyNumberFormat="1" applyFont="1" applyFill="1" applyBorder="1" applyAlignment="1">
      <alignment horizontal="center"/>
      <protection/>
    </xf>
    <xf numFmtId="179" fontId="7" fillId="36" borderId="13" xfId="69" applyNumberFormat="1" applyFont="1" applyFill="1" applyBorder="1" applyAlignment="1">
      <alignment horizontal="center" vertical="center" wrapText="1"/>
    </xf>
    <xf numFmtId="43" fontId="7" fillId="36" borderId="13" xfId="69" applyNumberFormat="1" applyFont="1" applyFill="1" applyBorder="1" applyAlignment="1">
      <alignment horizontal="center" vertical="center"/>
    </xf>
    <xf numFmtId="187" fontId="7" fillId="36" borderId="13" xfId="0" applyNumberFormat="1" applyFont="1" applyFill="1" applyBorder="1" applyAlignment="1">
      <alignment/>
    </xf>
    <xf numFmtId="186" fontId="3" fillId="0" borderId="17" xfId="69" applyNumberFormat="1" applyFont="1" applyFill="1" applyBorder="1" applyAlignment="1">
      <alignment horizontal="center"/>
    </xf>
    <xf numFmtId="185" fontId="7" fillId="36" borderId="13" xfId="69" applyNumberFormat="1" applyFont="1" applyFill="1" applyBorder="1" applyAlignment="1">
      <alignment vertical="center" wrapText="1"/>
    </xf>
    <xf numFmtId="0" fontId="54" fillId="0" borderId="0" xfId="52" applyFont="1">
      <alignment/>
      <protection/>
    </xf>
    <xf numFmtId="0" fontId="9" fillId="37" borderId="17" xfId="55" applyFont="1" applyFill="1" applyBorder="1" applyAlignment="1" applyProtection="1">
      <alignment horizontal="center" wrapText="1"/>
      <protection locked="0"/>
    </xf>
    <xf numFmtId="186" fontId="3" fillId="37" borderId="13" xfId="68" applyNumberFormat="1" applyFont="1" applyFill="1" applyBorder="1" applyAlignment="1" applyProtection="1">
      <alignment wrapText="1"/>
      <protection locked="0"/>
    </xf>
    <xf numFmtId="0" fontId="10" fillId="38" borderId="13" xfId="54" applyFont="1" applyFill="1" applyBorder="1" applyAlignment="1" applyProtection="1">
      <alignment wrapText="1"/>
      <protection locked="0"/>
    </xf>
    <xf numFmtId="186" fontId="7" fillId="38" borderId="13" xfId="68" applyNumberFormat="1" applyFont="1" applyFill="1" applyBorder="1" applyAlignment="1" applyProtection="1">
      <alignment wrapText="1"/>
      <protection locked="0"/>
    </xf>
    <xf numFmtId="186" fontId="3" fillId="38" borderId="13" xfId="68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186" fontId="55" fillId="35" borderId="13" xfId="68" applyNumberFormat="1" applyFont="1" applyFill="1" applyBorder="1" applyAlignment="1" applyProtection="1">
      <alignment/>
      <protection locked="0"/>
    </xf>
    <xf numFmtId="186" fontId="55" fillId="35" borderId="13" xfId="68" applyNumberFormat="1" applyFont="1" applyFill="1" applyBorder="1" applyAlignment="1" applyProtection="1">
      <alignment wrapText="1"/>
      <protection locked="0"/>
    </xf>
    <xf numFmtId="186" fontId="3" fillId="39" borderId="13" xfId="68" applyNumberFormat="1" applyFont="1" applyFill="1" applyBorder="1" applyAlignment="1" applyProtection="1">
      <alignment wrapText="1"/>
      <protection locked="0"/>
    </xf>
    <xf numFmtId="186" fontId="55" fillId="0" borderId="13" xfId="68" applyNumberFormat="1" applyFont="1" applyFill="1" applyBorder="1" applyAlignment="1" applyProtection="1">
      <alignment/>
      <protection locked="0"/>
    </xf>
    <xf numFmtId="186" fontId="55" fillId="0" borderId="13" xfId="68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56" fillId="35" borderId="17" xfId="55" applyFont="1" applyFill="1" applyBorder="1" applyAlignment="1" applyProtection="1">
      <alignment horizontal="center" wrapText="1"/>
      <protection locked="0"/>
    </xf>
    <xf numFmtId="186" fontId="3" fillId="0" borderId="13" xfId="67" applyNumberFormat="1" applyFont="1" applyFill="1" applyBorder="1" applyAlignment="1" applyProtection="1">
      <alignment horizontal="center" wrapText="1"/>
      <protection locked="0"/>
    </xf>
    <xf numFmtId="0" fontId="3" fillId="0" borderId="17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185" fontId="3" fillId="0" borderId="17" xfId="69" applyNumberFormat="1" applyFont="1" applyFill="1" applyBorder="1" applyAlignment="1">
      <alignment horizontal="center" vertical="center" wrapText="1"/>
    </xf>
    <xf numFmtId="43" fontId="3" fillId="0" borderId="17" xfId="69" applyNumberFormat="1" applyFont="1" applyBorder="1" applyAlignment="1">
      <alignment horizontal="center" vertical="center"/>
    </xf>
    <xf numFmtId="187" fontId="3" fillId="0" borderId="13" xfId="0" applyNumberFormat="1" applyFont="1" applyFill="1" applyBorder="1" applyAlignment="1">
      <alignment horizontal="center"/>
    </xf>
    <xf numFmtId="185" fontId="3" fillId="0" borderId="13" xfId="69" applyNumberFormat="1" applyFont="1" applyFill="1" applyBorder="1" applyAlignment="1">
      <alignment horizontal="center" vertical="center" wrapText="1"/>
    </xf>
    <xf numFmtId="43" fontId="3" fillId="0" borderId="13" xfId="69" applyNumberFormat="1" applyFont="1" applyBorder="1" applyAlignment="1">
      <alignment horizontal="center" vertical="center"/>
    </xf>
    <xf numFmtId="0" fontId="34" fillId="0" borderId="0" xfId="52" applyFont="1">
      <alignment/>
      <protection/>
    </xf>
    <xf numFmtId="0" fontId="35" fillId="0" borderId="0" xfId="52" applyFont="1">
      <alignment/>
      <protection/>
    </xf>
    <xf numFmtId="186" fontId="3" fillId="34" borderId="13" xfId="67" applyNumberFormat="1" applyFont="1" applyFill="1" applyBorder="1" applyAlignment="1" applyProtection="1">
      <alignment horizontal="center" wrapText="1"/>
      <protection locked="0"/>
    </xf>
    <xf numFmtId="186" fontId="3" fillId="35" borderId="13" xfId="67" applyNumberFormat="1" applyFont="1" applyFill="1" applyBorder="1" applyAlignment="1" applyProtection="1">
      <alignment horizontal="center" wrapText="1"/>
      <protection locked="0"/>
    </xf>
    <xf numFmtId="186" fontId="57" fillId="0" borderId="13" xfId="67" applyNumberFormat="1" applyFont="1" applyFill="1" applyBorder="1" applyAlignment="1" applyProtection="1">
      <alignment horizontal="center" wrapText="1"/>
      <protection locked="0"/>
    </xf>
    <xf numFmtId="186" fontId="7" fillId="36" borderId="13" xfId="67" applyNumberFormat="1" applyFont="1" applyFill="1" applyBorder="1" applyAlignment="1" applyProtection="1">
      <alignment horizontal="center" wrapText="1"/>
      <protection locked="0"/>
    </xf>
    <xf numFmtId="187" fontId="7" fillId="33" borderId="13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54" applyFont="1" applyBorder="1" applyProtection="1">
      <alignment/>
      <protection locked="0"/>
    </xf>
    <xf numFmtId="0" fontId="10" fillId="37" borderId="0" xfId="54" applyFont="1" applyFill="1" applyBorder="1" applyAlignment="1" applyProtection="1">
      <alignment wrapText="1"/>
      <protection locked="0"/>
    </xf>
    <xf numFmtId="0" fontId="58" fillId="0" borderId="0" xfId="52" applyFont="1">
      <alignment/>
      <protection/>
    </xf>
    <xf numFmtId="186" fontId="7" fillId="36" borderId="13" xfId="65" applyNumberFormat="1" applyFont="1" applyFill="1" applyBorder="1" applyAlignment="1">
      <alignment/>
    </xf>
    <xf numFmtId="0" fontId="35" fillId="0" borderId="0" xfId="52" applyFont="1" applyAlignment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18.28125" style="0" customWidth="1"/>
    <col min="2" max="2" width="12.7109375" style="0" customWidth="1"/>
    <col min="3" max="6" width="13.140625" style="0" customWidth="1"/>
    <col min="7" max="7" width="12.00390625" style="0" customWidth="1"/>
    <col min="8" max="8" width="12.421875" style="0" customWidth="1"/>
    <col min="9" max="9" width="13.7109375" style="0" customWidth="1"/>
    <col min="10" max="10" width="12.7109375" style="0" customWidth="1"/>
    <col min="11" max="11" width="12.57421875" style="0" customWidth="1"/>
    <col min="12" max="12" width="9.140625" style="0" customWidth="1"/>
    <col min="13" max="13" width="8.8515625" style="0" customWidth="1"/>
    <col min="14" max="14" width="8.140625" style="0" customWidth="1"/>
    <col min="15" max="15" width="7.421875" style="0" customWidth="1"/>
    <col min="16" max="16" width="7.00390625" style="0" customWidth="1"/>
    <col min="17" max="17" width="7.140625" style="0" customWidth="1"/>
    <col min="18" max="18" width="8.28125" style="0" customWidth="1"/>
    <col min="19" max="19" width="9.421875" style="0" customWidth="1"/>
    <col min="20" max="20" width="9.7109375" style="0" customWidth="1"/>
    <col min="21" max="21" width="9.28125" style="0" bestFit="1" customWidth="1"/>
    <col min="23" max="24" width="9.57421875" style="0" customWidth="1"/>
    <col min="25" max="25" width="9.28125" style="0" bestFit="1" customWidth="1"/>
    <col min="26" max="26" width="10.8515625" style="0" customWidth="1"/>
    <col min="27" max="27" width="9.28125" style="0" bestFit="1" customWidth="1"/>
    <col min="28" max="28" width="8.140625" style="0" customWidth="1"/>
    <col min="29" max="29" width="9.140625" style="0" customWidth="1"/>
    <col min="30" max="30" width="8.57421875" style="0" customWidth="1"/>
    <col min="31" max="31" width="9.140625" style="0" customWidth="1"/>
    <col min="32" max="32" width="7.28125" style="0" customWidth="1"/>
    <col min="34" max="34" width="11.7109375" style="0" customWidth="1"/>
  </cols>
  <sheetData>
    <row r="1" ht="12.75">
      <c r="L1" t="s">
        <v>14</v>
      </c>
    </row>
    <row r="4" spans="2:16" ht="16.5">
      <c r="B4" s="11"/>
      <c r="D4" s="11"/>
      <c r="E4" s="11"/>
      <c r="F4" s="11"/>
      <c r="G4" s="3" t="s">
        <v>12</v>
      </c>
      <c r="H4" s="11"/>
      <c r="I4" s="11"/>
      <c r="J4" s="11"/>
      <c r="K4" s="11"/>
      <c r="L4" s="3"/>
      <c r="M4" s="3"/>
      <c r="N4" s="3"/>
      <c r="O4" s="3"/>
      <c r="P4" s="3"/>
    </row>
    <row r="5" spans="1:16" ht="16.5">
      <c r="A5" s="12"/>
      <c r="B5" s="12"/>
      <c r="D5" s="12"/>
      <c r="E5" s="12"/>
      <c r="F5" s="12"/>
      <c r="G5" s="3" t="s">
        <v>63</v>
      </c>
      <c r="H5" s="11"/>
      <c r="I5" s="13"/>
      <c r="J5" s="13"/>
      <c r="K5" s="12"/>
      <c r="L5" s="4"/>
      <c r="M5" s="4"/>
      <c r="N5" s="4"/>
      <c r="O5" s="4"/>
      <c r="P5" s="4"/>
    </row>
    <row r="8" spans="1:16" ht="64.5">
      <c r="A8" s="27" t="s">
        <v>0</v>
      </c>
      <c r="B8" s="28" t="s">
        <v>55</v>
      </c>
      <c r="C8" s="29" t="s">
        <v>37</v>
      </c>
      <c r="D8" s="30" t="s">
        <v>38</v>
      </c>
      <c r="E8" s="30" t="s">
        <v>16</v>
      </c>
      <c r="F8" s="30" t="s">
        <v>17</v>
      </c>
      <c r="G8" s="5"/>
      <c r="H8" s="5"/>
      <c r="I8" s="5"/>
      <c r="L8" s="5"/>
      <c r="M8" s="5"/>
      <c r="N8" s="5"/>
      <c r="O8" s="5"/>
      <c r="P8" s="5"/>
    </row>
    <row r="9" spans="1:16" ht="15">
      <c r="A9" s="31" t="s">
        <v>1</v>
      </c>
      <c r="B9" s="90">
        <f aca="true" t="shared" si="0" ref="B9:B14">B20-C9</f>
        <v>13434.599999999977</v>
      </c>
      <c r="C9" s="91">
        <f aca="true" t="shared" si="1" ref="C9:C14">D9+E9+F9</f>
        <v>108310.70000000001</v>
      </c>
      <c r="D9" s="80">
        <f>2236.1-698.2</f>
        <v>1537.8999999999999</v>
      </c>
      <c r="E9" s="80">
        <v>40494.5</v>
      </c>
      <c r="F9" s="92">
        <v>66278.3</v>
      </c>
      <c r="G9" s="98" t="s">
        <v>58</v>
      </c>
      <c r="H9" s="65"/>
      <c r="I9" s="65"/>
      <c r="L9" s="65"/>
      <c r="M9" s="65"/>
      <c r="N9" s="5"/>
      <c r="O9" s="5"/>
      <c r="P9" s="5"/>
    </row>
    <row r="10" spans="1:16" ht="15">
      <c r="A10" s="31" t="s">
        <v>2</v>
      </c>
      <c r="B10" s="90">
        <f t="shared" si="0"/>
        <v>49493.57999999997</v>
      </c>
      <c r="C10" s="91">
        <f t="shared" si="1"/>
        <v>121689.8</v>
      </c>
      <c r="D10" s="80">
        <f>2819.6-349.7</f>
        <v>2469.9</v>
      </c>
      <c r="E10" s="80">
        <f>35578.9-3094.8</f>
        <v>32484.100000000002</v>
      </c>
      <c r="F10" s="92">
        <v>86735.8</v>
      </c>
      <c r="G10" s="100">
        <v>3094.8</v>
      </c>
      <c r="H10" s="65" t="s">
        <v>59</v>
      </c>
      <c r="I10" s="65"/>
      <c r="L10" s="65"/>
      <c r="M10" s="65"/>
      <c r="N10" s="5"/>
      <c r="O10" s="5"/>
      <c r="P10" s="5"/>
    </row>
    <row r="11" spans="1:16" ht="15">
      <c r="A11" s="31" t="s">
        <v>3</v>
      </c>
      <c r="B11" s="90">
        <f t="shared" si="0"/>
        <v>31683.39500000001</v>
      </c>
      <c r="C11" s="91">
        <f t="shared" si="1"/>
        <v>48683.799999999996</v>
      </c>
      <c r="D11" s="80">
        <f>91.5-0.3</f>
        <v>91.2</v>
      </c>
      <c r="E11" s="80">
        <v>8696.9</v>
      </c>
      <c r="F11" s="92">
        <v>39895.7</v>
      </c>
      <c r="G11" s="89"/>
      <c r="H11" s="65"/>
      <c r="I11" s="65"/>
      <c r="L11" s="65"/>
      <c r="M11" s="65"/>
      <c r="N11" s="5"/>
      <c r="O11" s="5"/>
      <c r="P11" s="5"/>
    </row>
    <row r="12" spans="1:16" ht="15">
      <c r="A12" s="31" t="s">
        <v>4</v>
      </c>
      <c r="B12" s="90">
        <f t="shared" si="0"/>
        <v>7327.380000000005</v>
      </c>
      <c r="C12" s="91">
        <f t="shared" si="1"/>
        <v>24207.1</v>
      </c>
      <c r="D12" s="80">
        <f>766.6</f>
        <v>766.6</v>
      </c>
      <c r="E12" s="80">
        <v>15619</v>
      </c>
      <c r="F12" s="92">
        <v>7821.5</v>
      </c>
      <c r="G12" s="89"/>
      <c r="H12" s="65"/>
      <c r="I12" s="65"/>
      <c r="L12" s="65"/>
      <c r="M12" s="65"/>
      <c r="N12" s="5"/>
      <c r="O12" s="5"/>
      <c r="P12" s="5"/>
    </row>
    <row r="13" spans="1:16" ht="15">
      <c r="A13" s="31" t="s">
        <v>5</v>
      </c>
      <c r="B13" s="90">
        <f t="shared" si="0"/>
        <v>227.37999999999738</v>
      </c>
      <c r="C13" s="91">
        <f t="shared" si="1"/>
        <v>28763.3</v>
      </c>
      <c r="D13" s="80">
        <f>6033.3-3564.5-21.7-44.6</f>
        <v>2402.5000000000005</v>
      </c>
      <c r="E13" s="80">
        <v>10451.9</v>
      </c>
      <c r="F13" s="92">
        <v>15908.9</v>
      </c>
      <c r="G13" s="98" t="s">
        <v>62</v>
      </c>
      <c r="H13" s="65"/>
      <c r="I13" s="65"/>
      <c r="L13" s="65"/>
      <c r="M13" s="65"/>
      <c r="N13" s="5"/>
      <c r="O13" s="5"/>
      <c r="P13" s="5"/>
    </row>
    <row r="14" spans="1:16" ht="15">
      <c r="A14" s="31" t="s">
        <v>6</v>
      </c>
      <c r="B14" s="90">
        <f t="shared" si="0"/>
        <v>2748.790000000001</v>
      </c>
      <c r="C14" s="91">
        <f t="shared" si="1"/>
        <v>20181.5</v>
      </c>
      <c r="D14" s="80">
        <v>320.6</v>
      </c>
      <c r="E14" s="80">
        <v>10139.2</v>
      </c>
      <c r="F14" s="92">
        <v>9721.7</v>
      </c>
      <c r="G14" s="88"/>
      <c r="H14" s="5"/>
      <c r="I14" s="5"/>
      <c r="L14" s="5"/>
      <c r="M14" s="5"/>
      <c r="N14" s="5"/>
      <c r="O14" s="5"/>
      <c r="P14" s="5"/>
    </row>
    <row r="15" spans="1:16" ht="26.25">
      <c r="A15" s="32" t="s">
        <v>7</v>
      </c>
      <c r="B15" s="93">
        <f>SUM(B9:B14)</f>
        <v>104915.12499999997</v>
      </c>
      <c r="C15" s="93">
        <f>SUM(C9:C14)</f>
        <v>351836.19999999995</v>
      </c>
      <c r="D15" s="93">
        <f>SUM(D9:D14)</f>
        <v>7588.700000000001</v>
      </c>
      <c r="E15" s="93">
        <f>SUM(E9:E14)</f>
        <v>117885.59999999999</v>
      </c>
      <c r="F15" s="93">
        <f>SUM(F9:F14)</f>
        <v>226361.9</v>
      </c>
      <c r="G15" s="5"/>
      <c r="H15" s="5"/>
      <c r="I15" s="5"/>
      <c r="L15" s="5"/>
      <c r="M15" s="5"/>
      <c r="N15" s="5"/>
      <c r="O15" s="5"/>
      <c r="P15" s="5"/>
    </row>
    <row r="16" spans="3:6" ht="12.75">
      <c r="C16" s="2"/>
      <c r="D16" s="26"/>
      <c r="E16" s="25" t="s">
        <v>61</v>
      </c>
      <c r="F16" s="26"/>
    </row>
    <row r="18" spans="1:34" ht="26.25">
      <c r="A18" s="56" t="s">
        <v>0</v>
      </c>
      <c r="B18" s="14"/>
      <c r="C18" s="15"/>
      <c r="D18" s="15"/>
      <c r="E18" s="15"/>
      <c r="F18" s="15"/>
      <c r="G18" s="15"/>
      <c r="H18" s="15"/>
      <c r="I18" s="15"/>
      <c r="J18" s="15" t="s">
        <v>9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6"/>
      <c r="AH18" s="6"/>
    </row>
    <row r="19" spans="1:34" ht="51.75">
      <c r="A19" s="33"/>
      <c r="B19" s="34" t="s">
        <v>18</v>
      </c>
      <c r="C19" s="35" t="s">
        <v>8</v>
      </c>
      <c r="D19" s="79" t="s">
        <v>57</v>
      </c>
      <c r="E19" s="66" t="s">
        <v>39</v>
      </c>
      <c r="F19" s="36" t="s">
        <v>40</v>
      </c>
      <c r="G19" s="35" t="s">
        <v>19</v>
      </c>
      <c r="H19" s="34" t="s">
        <v>56</v>
      </c>
      <c r="I19" s="35" t="s">
        <v>20</v>
      </c>
      <c r="J19" s="34" t="s">
        <v>42</v>
      </c>
      <c r="K19" s="35" t="s">
        <v>21</v>
      </c>
      <c r="L19" s="34" t="s">
        <v>43</v>
      </c>
      <c r="M19" s="35" t="s">
        <v>22</v>
      </c>
      <c r="N19" s="34" t="s">
        <v>44</v>
      </c>
      <c r="O19" s="35" t="s">
        <v>23</v>
      </c>
      <c r="P19" s="34" t="s">
        <v>45</v>
      </c>
      <c r="Q19" s="35" t="s">
        <v>24</v>
      </c>
      <c r="R19" s="37" t="s">
        <v>25</v>
      </c>
      <c r="S19" s="34" t="s">
        <v>46</v>
      </c>
      <c r="T19" s="35" t="s">
        <v>26</v>
      </c>
      <c r="U19" s="34" t="s">
        <v>47</v>
      </c>
      <c r="V19" s="35" t="s">
        <v>27</v>
      </c>
      <c r="W19" s="34" t="s">
        <v>48</v>
      </c>
      <c r="X19" s="35" t="s">
        <v>28</v>
      </c>
      <c r="Y19" s="34" t="s">
        <v>51</v>
      </c>
      <c r="Z19" s="37" t="s">
        <v>29</v>
      </c>
      <c r="AA19" s="34" t="s">
        <v>49</v>
      </c>
      <c r="AB19" s="37" t="s">
        <v>30</v>
      </c>
      <c r="AC19" s="34" t="s">
        <v>50</v>
      </c>
      <c r="AD19" s="37" t="s">
        <v>31</v>
      </c>
      <c r="AE19" s="34" t="s">
        <v>35</v>
      </c>
      <c r="AF19" s="34" t="s">
        <v>36</v>
      </c>
      <c r="AG19" s="6"/>
      <c r="AH19" s="6"/>
    </row>
    <row r="20" spans="1:34" ht="15">
      <c r="A20" s="38" t="s">
        <v>1</v>
      </c>
      <c r="B20" s="39">
        <f>D20+F20+H20+J20+L20+N20+P20+Q20+S20+U20+W20+Y20+AA20+AC20+AE20+AF20</f>
        <v>121745.29999999999</v>
      </c>
      <c r="C20" s="40">
        <f>31678.6+8062</f>
        <v>39740.6</v>
      </c>
      <c r="D20" s="39">
        <f aca="true" t="shared" si="2" ref="D20:D25">C20</f>
        <v>39740.6</v>
      </c>
      <c r="E20" s="67">
        <v>2034.8</v>
      </c>
      <c r="F20" s="39">
        <f aca="true" t="shared" si="3" ref="F20:F25">E20</f>
        <v>2034.8</v>
      </c>
      <c r="G20" s="41">
        <f>10.5</f>
        <v>10.5</v>
      </c>
      <c r="H20" s="42">
        <f aca="true" t="shared" si="4" ref="H20:H25">G20*1</f>
        <v>10.5</v>
      </c>
      <c r="I20" s="41">
        <v>501.7</v>
      </c>
      <c r="J20" s="42">
        <f>I20*1</f>
        <v>501.7</v>
      </c>
      <c r="K20" s="41">
        <f>5176-300</f>
        <v>4876</v>
      </c>
      <c r="L20" s="42">
        <f aca="true" t="shared" si="5" ref="L20:L25">K20*1.05</f>
        <v>5119.8</v>
      </c>
      <c r="M20" s="41">
        <v>699.1</v>
      </c>
      <c r="N20" s="42">
        <f aca="true" t="shared" si="6" ref="N20:N25">M20*1</f>
        <v>699.1</v>
      </c>
      <c r="O20" s="40"/>
      <c r="P20" s="42">
        <f aca="true" t="shared" si="7" ref="P20:P25">O20</f>
        <v>0</v>
      </c>
      <c r="Q20" s="43">
        <v>0</v>
      </c>
      <c r="R20" s="44">
        <v>2791</v>
      </c>
      <c r="S20" s="42">
        <f aca="true" t="shared" si="8" ref="S20:S25">R20*1</f>
        <v>2791</v>
      </c>
      <c r="T20" s="43">
        <v>21826.2</v>
      </c>
      <c r="U20" s="42">
        <f aca="true" t="shared" si="9" ref="U20:U25">T20*1</f>
        <v>21826.2</v>
      </c>
      <c r="V20" s="43">
        <v>10400.4</v>
      </c>
      <c r="W20" s="42">
        <f aca="true" t="shared" si="10" ref="W20:W25">V20*1</f>
        <v>10400.4</v>
      </c>
      <c r="X20" s="43">
        <f>24904.6-123</f>
        <v>24781.6</v>
      </c>
      <c r="Y20" s="42">
        <f aca="true" t="shared" si="11" ref="Y20:Y25">X20</f>
        <v>24781.6</v>
      </c>
      <c r="Z20" s="43">
        <f>11921.8-497.6-12.4</f>
        <v>11411.8</v>
      </c>
      <c r="AA20" s="42">
        <f aca="true" t="shared" si="12" ref="AA20:AA25">Z20</f>
        <v>11411.8</v>
      </c>
      <c r="AB20" s="43">
        <f>2340.1-13</f>
        <v>2327.1</v>
      </c>
      <c r="AC20" s="42">
        <f aca="true" t="shared" si="13" ref="AC20:AC25">AB20</f>
        <v>2327.1</v>
      </c>
      <c r="AD20" s="43"/>
      <c r="AE20" s="39">
        <f aca="true" t="shared" si="14" ref="AE20:AE25">AD20</f>
        <v>0</v>
      </c>
      <c r="AF20" s="45">
        <v>100.7</v>
      </c>
      <c r="AG20" s="6"/>
      <c r="AH20" s="7"/>
    </row>
    <row r="21" spans="1:34" ht="15">
      <c r="A21" s="38" t="s">
        <v>2</v>
      </c>
      <c r="B21" s="39">
        <f aca="true" t="shared" si="15" ref="B21:B26">D21+F21+H21+J21+L21+N21+P21+Q21+S21+U21+W21+Y21+AA21+AC21+AE21+AF21</f>
        <v>171183.37999999998</v>
      </c>
      <c r="C21" s="40">
        <f>67172+18787.7-80.5-22</f>
        <v>85857.2</v>
      </c>
      <c r="D21" s="39">
        <f t="shared" si="2"/>
        <v>85857.2</v>
      </c>
      <c r="E21" s="67">
        <v>2279.3</v>
      </c>
      <c r="F21" s="39">
        <f t="shared" si="3"/>
        <v>2279.3</v>
      </c>
      <c r="G21" s="41">
        <v>300</v>
      </c>
      <c r="H21" s="42">
        <f t="shared" si="4"/>
        <v>300</v>
      </c>
      <c r="I21" s="41">
        <v>754.1</v>
      </c>
      <c r="J21" s="42">
        <f>I21</f>
        <v>754.1</v>
      </c>
      <c r="K21" s="41">
        <v>7753.6</v>
      </c>
      <c r="L21" s="42">
        <f t="shared" si="5"/>
        <v>8141.280000000001</v>
      </c>
      <c r="M21" s="41">
        <f>388.6-13.3</f>
        <v>375.3</v>
      </c>
      <c r="N21" s="42">
        <f t="shared" si="6"/>
        <v>375.3</v>
      </c>
      <c r="O21" s="40">
        <v>128</v>
      </c>
      <c r="P21" s="42">
        <f t="shared" si="7"/>
        <v>128</v>
      </c>
      <c r="Q21" s="43">
        <v>0</v>
      </c>
      <c r="R21" s="44">
        <f>3082.4-50-15</f>
        <v>3017.4</v>
      </c>
      <c r="S21" s="42">
        <f t="shared" si="8"/>
        <v>3017.4</v>
      </c>
      <c r="T21" s="43">
        <v>7259.2</v>
      </c>
      <c r="U21" s="42">
        <f t="shared" si="9"/>
        <v>7259.2</v>
      </c>
      <c r="V21" s="43">
        <v>7938.9</v>
      </c>
      <c r="W21" s="42">
        <f t="shared" si="10"/>
        <v>7938.9</v>
      </c>
      <c r="X21" s="43">
        <f>37367.3-250</f>
        <v>37117.3</v>
      </c>
      <c r="Y21" s="42">
        <f t="shared" si="11"/>
        <v>37117.3</v>
      </c>
      <c r="Z21" s="43">
        <v>14981.2</v>
      </c>
      <c r="AA21" s="42">
        <f t="shared" si="12"/>
        <v>14981.2</v>
      </c>
      <c r="AB21" s="43">
        <v>2851.8</v>
      </c>
      <c r="AC21" s="42">
        <f t="shared" si="13"/>
        <v>2851.8</v>
      </c>
      <c r="AD21" s="43"/>
      <c r="AE21" s="39">
        <f t="shared" si="14"/>
        <v>0</v>
      </c>
      <c r="AF21" s="45">
        <v>182.4</v>
      </c>
      <c r="AG21" s="6"/>
      <c r="AH21" s="7"/>
    </row>
    <row r="22" spans="1:34" ht="15">
      <c r="A22" s="38" t="s">
        <v>3</v>
      </c>
      <c r="B22" s="39">
        <f t="shared" si="15"/>
        <v>80367.195</v>
      </c>
      <c r="C22" s="40">
        <f>39133.9+10932</f>
        <v>50065.9</v>
      </c>
      <c r="D22" s="39">
        <f t="shared" si="2"/>
        <v>50065.9</v>
      </c>
      <c r="E22" s="67">
        <v>1217.8</v>
      </c>
      <c r="F22" s="39">
        <f t="shared" si="3"/>
        <v>1217.8</v>
      </c>
      <c r="G22" s="41">
        <v>141.9</v>
      </c>
      <c r="H22" s="42">
        <f t="shared" si="4"/>
        <v>141.9</v>
      </c>
      <c r="I22" s="41">
        <v>627</v>
      </c>
      <c r="J22" s="42">
        <f>I22</f>
        <v>627</v>
      </c>
      <c r="K22" s="41">
        <v>4081.9</v>
      </c>
      <c r="L22" s="42">
        <f t="shared" si="5"/>
        <v>4285.995</v>
      </c>
      <c r="M22" s="41">
        <v>1244.9</v>
      </c>
      <c r="N22" s="42">
        <f t="shared" si="6"/>
        <v>1244.9</v>
      </c>
      <c r="O22" s="40">
        <v>115.1</v>
      </c>
      <c r="P22" s="42">
        <f t="shared" si="7"/>
        <v>115.1</v>
      </c>
      <c r="Q22" s="43">
        <v>0</v>
      </c>
      <c r="R22" s="44">
        <v>1421.6</v>
      </c>
      <c r="S22" s="42">
        <f t="shared" si="8"/>
        <v>1421.6</v>
      </c>
      <c r="T22" s="43">
        <v>3932.9</v>
      </c>
      <c r="U22" s="42">
        <f t="shared" si="9"/>
        <v>3932.9</v>
      </c>
      <c r="V22" s="43">
        <v>8199.9</v>
      </c>
      <c r="W22" s="42">
        <f t="shared" si="10"/>
        <v>8199.9</v>
      </c>
      <c r="X22" s="43">
        <v>5445.8</v>
      </c>
      <c r="Y22" s="42">
        <f t="shared" si="11"/>
        <v>5445.8</v>
      </c>
      <c r="Z22" s="77">
        <v>2255.9</v>
      </c>
      <c r="AA22" s="42">
        <f t="shared" si="12"/>
        <v>2255.9</v>
      </c>
      <c r="AB22" s="77">
        <v>1333.1</v>
      </c>
      <c r="AC22" s="42">
        <f t="shared" si="13"/>
        <v>1333.1</v>
      </c>
      <c r="AD22" s="77"/>
      <c r="AE22" s="74">
        <f t="shared" si="14"/>
        <v>0</v>
      </c>
      <c r="AF22" s="73">
        <v>79.4</v>
      </c>
      <c r="AG22" s="6"/>
      <c r="AH22" s="7"/>
    </row>
    <row r="23" spans="1:34" ht="15">
      <c r="A23" s="38" t="s">
        <v>4</v>
      </c>
      <c r="B23" s="39">
        <f t="shared" si="15"/>
        <v>31534.480000000003</v>
      </c>
      <c r="C23" s="40">
        <f>12372.3+3302.5</f>
        <v>15674.8</v>
      </c>
      <c r="D23" s="39">
        <f t="shared" si="2"/>
        <v>15674.8</v>
      </c>
      <c r="E23" s="67">
        <f>263.1-3.9</f>
        <v>259.20000000000005</v>
      </c>
      <c r="F23" s="39">
        <f t="shared" si="3"/>
        <v>259.20000000000005</v>
      </c>
      <c r="G23" s="41"/>
      <c r="H23" s="42">
        <f t="shared" si="4"/>
        <v>0</v>
      </c>
      <c r="I23" s="41">
        <v>155.5</v>
      </c>
      <c r="J23" s="42">
        <f>I23</f>
        <v>155.5</v>
      </c>
      <c r="K23" s="41">
        <v>229.6</v>
      </c>
      <c r="L23" s="42">
        <f t="shared" si="5"/>
        <v>241.08</v>
      </c>
      <c r="M23" s="41">
        <f>127.7-4.2</f>
        <v>123.5</v>
      </c>
      <c r="N23" s="42">
        <f t="shared" si="6"/>
        <v>123.5</v>
      </c>
      <c r="O23" s="40"/>
      <c r="P23" s="42">
        <f t="shared" si="7"/>
        <v>0</v>
      </c>
      <c r="Q23" s="43"/>
      <c r="R23" s="44">
        <f>843.1-8.9</f>
        <v>834.2</v>
      </c>
      <c r="S23" s="42">
        <f t="shared" si="8"/>
        <v>834.2</v>
      </c>
      <c r="T23" s="43"/>
      <c r="U23" s="42">
        <f t="shared" si="9"/>
        <v>0</v>
      </c>
      <c r="V23" s="43"/>
      <c r="W23" s="42">
        <f t="shared" si="10"/>
        <v>0</v>
      </c>
      <c r="X23" s="43">
        <f>12691.4-1805.1-8.3-64.8</f>
        <v>10813.2</v>
      </c>
      <c r="Y23" s="42">
        <f t="shared" si="11"/>
        <v>10813.2</v>
      </c>
      <c r="Z23" s="43">
        <f>3527.4-99-4.4-18-3.1-267.7-463.7</f>
        <v>2671.5000000000005</v>
      </c>
      <c r="AA23" s="42">
        <f t="shared" si="12"/>
        <v>2671.5000000000005</v>
      </c>
      <c r="AB23" s="43">
        <v>719.8</v>
      </c>
      <c r="AC23" s="42">
        <f t="shared" si="13"/>
        <v>719.8</v>
      </c>
      <c r="AD23" s="43"/>
      <c r="AE23" s="74">
        <f t="shared" si="14"/>
        <v>0</v>
      </c>
      <c r="AF23" s="45">
        <v>41.7</v>
      </c>
      <c r="AG23" s="6"/>
      <c r="AH23" s="7"/>
    </row>
    <row r="24" spans="1:34" ht="13.5" customHeight="1">
      <c r="A24" s="38" t="s">
        <v>5</v>
      </c>
      <c r="B24" s="39">
        <f t="shared" si="15"/>
        <v>28990.679999999997</v>
      </c>
      <c r="C24" s="40">
        <f>15894.7+4745.2</f>
        <v>20639.9</v>
      </c>
      <c r="D24" s="39">
        <f t="shared" si="2"/>
        <v>20639.9</v>
      </c>
      <c r="E24" s="67">
        <v>575.1</v>
      </c>
      <c r="F24" s="39">
        <f t="shared" si="3"/>
        <v>575.1</v>
      </c>
      <c r="G24" s="41"/>
      <c r="H24" s="42">
        <f t="shared" si="4"/>
        <v>0</v>
      </c>
      <c r="I24" s="41">
        <v>329.2</v>
      </c>
      <c r="J24" s="42">
        <f>I24</f>
        <v>329.2</v>
      </c>
      <c r="K24" s="41">
        <v>647.6</v>
      </c>
      <c r="L24" s="42">
        <f t="shared" si="5"/>
        <v>679.98</v>
      </c>
      <c r="M24" s="41">
        <v>408.8</v>
      </c>
      <c r="N24" s="42">
        <f t="shared" si="6"/>
        <v>408.8</v>
      </c>
      <c r="O24" s="40"/>
      <c r="P24" s="42">
        <f t="shared" si="7"/>
        <v>0</v>
      </c>
      <c r="Q24" s="43"/>
      <c r="R24" s="76">
        <v>564.1</v>
      </c>
      <c r="S24" s="42">
        <f t="shared" si="8"/>
        <v>564.1</v>
      </c>
      <c r="T24" s="43"/>
      <c r="U24" s="42">
        <f t="shared" si="9"/>
        <v>0</v>
      </c>
      <c r="V24" s="77">
        <v>1816.2</v>
      </c>
      <c r="W24" s="42">
        <f t="shared" si="10"/>
        <v>1816.2</v>
      </c>
      <c r="X24" s="43">
        <v>288.5</v>
      </c>
      <c r="Y24" s="42">
        <f t="shared" si="11"/>
        <v>288.5</v>
      </c>
      <c r="Z24" s="43">
        <v>2518</v>
      </c>
      <c r="AA24" s="42">
        <f t="shared" si="12"/>
        <v>2518</v>
      </c>
      <c r="AB24" s="77">
        <v>1140.6</v>
      </c>
      <c r="AC24" s="42">
        <f t="shared" si="13"/>
        <v>1140.6</v>
      </c>
      <c r="AD24" s="77"/>
      <c r="AE24" s="74">
        <f t="shared" si="14"/>
        <v>0</v>
      </c>
      <c r="AF24" s="73">
        <v>30.3</v>
      </c>
      <c r="AG24" s="6"/>
      <c r="AH24" s="7"/>
    </row>
    <row r="25" spans="1:34" ht="15">
      <c r="A25" s="38" t="s">
        <v>6</v>
      </c>
      <c r="B25" s="75">
        <f t="shared" si="15"/>
        <v>22930.29</v>
      </c>
      <c r="C25" s="40">
        <f>11639.8+2860.8-216.2-261.5</f>
        <v>14022.899999999998</v>
      </c>
      <c r="D25" s="39">
        <f t="shared" si="2"/>
        <v>14022.899999999998</v>
      </c>
      <c r="E25" s="67">
        <f>984.6-50-13.5-130-13</f>
        <v>778.1</v>
      </c>
      <c r="F25" s="39">
        <f t="shared" si="3"/>
        <v>778.1</v>
      </c>
      <c r="G25" s="41">
        <f>40.2-40</f>
        <v>0.20000000000000284</v>
      </c>
      <c r="H25" s="42">
        <f t="shared" si="4"/>
        <v>0.20000000000000284</v>
      </c>
      <c r="I25" s="41">
        <f>424.3-5</f>
        <v>419.3</v>
      </c>
      <c r="J25" s="42">
        <f>I25</f>
        <v>419.3</v>
      </c>
      <c r="K25" s="41">
        <f>520.8-195</f>
        <v>325.79999999999995</v>
      </c>
      <c r="L25" s="42">
        <f t="shared" si="5"/>
        <v>342.09</v>
      </c>
      <c r="M25" s="41">
        <f>307-50</f>
        <v>257</v>
      </c>
      <c r="N25" s="42">
        <f t="shared" si="6"/>
        <v>257</v>
      </c>
      <c r="O25" s="40"/>
      <c r="P25" s="42">
        <f t="shared" si="7"/>
        <v>0</v>
      </c>
      <c r="Q25" s="43"/>
      <c r="R25" s="44">
        <f>1149.3-5-200</f>
        <v>944.3</v>
      </c>
      <c r="S25" s="42">
        <f t="shared" si="8"/>
        <v>944.3</v>
      </c>
      <c r="T25" s="43"/>
      <c r="U25" s="42">
        <f t="shared" si="9"/>
        <v>0</v>
      </c>
      <c r="V25" s="43">
        <f>1050-550</f>
        <v>500</v>
      </c>
      <c r="W25" s="42">
        <f t="shared" si="10"/>
        <v>500</v>
      </c>
      <c r="X25" s="43">
        <f>2687.7-2-44.5-200-17.5</f>
        <v>2423.7</v>
      </c>
      <c r="Y25" s="42">
        <f t="shared" si="11"/>
        <v>2423.7</v>
      </c>
      <c r="Z25" s="77">
        <f>3119-383.9-50-93.1</f>
        <v>2592</v>
      </c>
      <c r="AA25" s="42">
        <f t="shared" si="12"/>
        <v>2592</v>
      </c>
      <c r="AB25" s="77">
        <v>608</v>
      </c>
      <c r="AC25" s="42">
        <f t="shared" si="13"/>
        <v>608</v>
      </c>
      <c r="AD25" s="77"/>
      <c r="AE25" s="74">
        <f t="shared" si="14"/>
        <v>0</v>
      </c>
      <c r="AF25" s="73">
        <v>42.7</v>
      </c>
      <c r="AG25" s="6"/>
      <c r="AH25" s="7"/>
    </row>
    <row r="26" spans="1:34" ht="26.25">
      <c r="A26" s="68" t="s">
        <v>7</v>
      </c>
      <c r="B26" s="70">
        <f t="shared" si="15"/>
        <v>456751.325</v>
      </c>
      <c r="C26" s="69">
        <f>C20+C21+C22+C23+C24+C25</f>
        <v>226001.29999999996</v>
      </c>
      <c r="D26" s="69">
        <f aca="true" t="shared" si="16" ref="D26:AF26">D20+D21+D22+D23+D24+D25</f>
        <v>226001.29999999996</v>
      </c>
      <c r="E26" s="69">
        <f t="shared" si="16"/>
        <v>7144.300000000001</v>
      </c>
      <c r="F26" s="69">
        <f t="shared" si="16"/>
        <v>7144.300000000001</v>
      </c>
      <c r="G26" s="69">
        <f t="shared" si="16"/>
        <v>452.59999999999997</v>
      </c>
      <c r="H26" s="69">
        <f t="shared" si="16"/>
        <v>452.59999999999997</v>
      </c>
      <c r="I26" s="69">
        <f t="shared" si="16"/>
        <v>2786.8</v>
      </c>
      <c r="J26" s="69">
        <f t="shared" si="16"/>
        <v>2786.8</v>
      </c>
      <c r="K26" s="69">
        <f t="shared" si="16"/>
        <v>17914.499999999996</v>
      </c>
      <c r="L26" s="69">
        <f t="shared" si="16"/>
        <v>18810.225000000002</v>
      </c>
      <c r="M26" s="69">
        <f t="shared" si="16"/>
        <v>3108.6000000000004</v>
      </c>
      <c r="N26" s="69">
        <f t="shared" si="16"/>
        <v>3108.6000000000004</v>
      </c>
      <c r="O26" s="69">
        <f t="shared" si="16"/>
        <v>243.1</v>
      </c>
      <c r="P26" s="69">
        <f t="shared" si="16"/>
        <v>243.1</v>
      </c>
      <c r="Q26" s="69">
        <f t="shared" si="16"/>
        <v>0</v>
      </c>
      <c r="R26" s="69">
        <f t="shared" si="16"/>
        <v>9572.599999999999</v>
      </c>
      <c r="S26" s="69">
        <f t="shared" si="16"/>
        <v>9572.599999999999</v>
      </c>
      <c r="T26" s="69">
        <f t="shared" si="16"/>
        <v>33018.3</v>
      </c>
      <c r="U26" s="69">
        <f t="shared" si="16"/>
        <v>33018.3</v>
      </c>
      <c r="V26" s="69">
        <f t="shared" si="16"/>
        <v>28855.399999999998</v>
      </c>
      <c r="W26" s="69">
        <f t="shared" si="16"/>
        <v>28855.399999999998</v>
      </c>
      <c r="X26" s="69">
        <f t="shared" si="16"/>
        <v>80870.09999999999</v>
      </c>
      <c r="Y26" s="69">
        <f t="shared" si="16"/>
        <v>80870.09999999999</v>
      </c>
      <c r="Z26" s="69">
        <f t="shared" si="16"/>
        <v>36430.4</v>
      </c>
      <c r="AA26" s="69">
        <f t="shared" si="16"/>
        <v>36430.4</v>
      </c>
      <c r="AB26" s="69">
        <f t="shared" si="16"/>
        <v>8980.4</v>
      </c>
      <c r="AC26" s="69">
        <f t="shared" si="16"/>
        <v>8980.4</v>
      </c>
      <c r="AD26" s="69">
        <f t="shared" si="16"/>
        <v>0</v>
      </c>
      <c r="AE26" s="69">
        <f t="shared" si="16"/>
        <v>0</v>
      </c>
      <c r="AF26" s="69">
        <f t="shared" si="16"/>
        <v>477.2</v>
      </c>
      <c r="AG26" s="6"/>
      <c r="AH26" s="6"/>
    </row>
    <row r="27" spans="1:30" ht="12.75">
      <c r="A27" s="24"/>
      <c r="B27" s="23"/>
      <c r="C27" s="23"/>
      <c r="D27" s="25" t="s">
        <v>41</v>
      </c>
      <c r="E27" s="25"/>
      <c r="F27" s="25"/>
      <c r="R27" s="23"/>
      <c r="S27" s="78" t="s">
        <v>15</v>
      </c>
      <c r="AB27" s="78" t="s">
        <v>15</v>
      </c>
      <c r="AD27" s="78" t="s">
        <v>15</v>
      </c>
    </row>
    <row r="29" spans="1:9" ht="12.75">
      <c r="A29" s="20"/>
      <c r="B29" s="22"/>
      <c r="C29" s="21"/>
      <c r="D29" s="22"/>
      <c r="E29" s="22"/>
      <c r="F29" s="22"/>
      <c r="G29" s="21"/>
      <c r="H29" s="19" t="s">
        <v>10</v>
      </c>
      <c r="I29" s="17"/>
    </row>
    <row r="30" spans="1:9" ht="96" customHeight="1">
      <c r="A30" s="46"/>
      <c r="B30" s="47" t="s">
        <v>32</v>
      </c>
      <c r="C30" s="47" t="s">
        <v>11</v>
      </c>
      <c r="D30" s="47" t="s">
        <v>54</v>
      </c>
      <c r="E30" s="47" t="s">
        <v>53</v>
      </c>
      <c r="F30" s="47" t="s">
        <v>52</v>
      </c>
      <c r="G30" s="48" t="s">
        <v>33</v>
      </c>
      <c r="H30" s="49" t="s">
        <v>13</v>
      </c>
      <c r="I30" s="50" t="s">
        <v>34</v>
      </c>
    </row>
    <row r="31" spans="1:9" ht="12.75">
      <c r="A31" s="51" t="s">
        <v>1</v>
      </c>
      <c r="B31" s="83">
        <v>7922</v>
      </c>
      <c r="C31" s="63">
        <v>22903.8</v>
      </c>
      <c r="D31" s="52">
        <f>C31/B31</f>
        <v>2.891163847513254</v>
      </c>
      <c r="E31" s="81">
        <v>0.951</v>
      </c>
      <c r="F31" s="63">
        <v>44653.2</v>
      </c>
      <c r="G31" s="84">
        <f>(D31/E31)/D37+F31/(B31*E31*D37)</f>
        <v>3.4729388890433786</v>
      </c>
      <c r="H31" s="85">
        <f aca="true" t="shared" si="17" ref="H31:H36">(IF(B9&lt;0,0,B9)/G31)</f>
        <v>3868.3663690093144</v>
      </c>
      <c r="I31" s="94">
        <f>H31/H37*I37</f>
        <v>771.8893586691808</v>
      </c>
    </row>
    <row r="32" spans="1:9" ht="12.75">
      <c r="A32" s="53" t="s">
        <v>2</v>
      </c>
      <c r="B32" s="86">
        <v>8654</v>
      </c>
      <c r="C32" s="57">
        <v>12767.3</v>
      </c>
      <c r="D32" s="54">
        <f aca="true" t="shared" si="18" ref="D32:D37">C32/B32</f>
        <v>1.4753062167783684</v>
      </c>
      <c r="E32" s="82">
        <v>0.918</v>
      </c>
      <c r="F32" s="57">
        <v>59507.3</v>
      </c>
      <c r="G32" s="87">
        <f>(D32/E32)/D37+F32/(B32*E32*D37)</f>
        <v>3.5234512372810878</v>
      </c>
      <c r="H32" s="85">
        <f t="shared" si="17"/>
        <v>14046.903637069281</v>
      </c>
      <c r="I32" s="94">
        <f>H32/H37*I37</f>
        <v>2802.9029325063607</v>
      </c>
    </row>
    <row r="33" spans="1:9" ht="12.75">
      <c r="A33" s="53" t="s">
        <v>3</v>
      </c>
      <c r="B33" s="86">
        <v>3618</v>
      </c>
      <c r="C33" s="57">
        <v>4930.1</v>
      </c>
      <c r="D33" s="54">
        <f t="shared" si="18"/>
        <v>1.3626589275843008</v>
      </c>
      <c r="E33" s="82">
        <v>1.099</v>
      </c>
      <c r="F33" s="57">
        <v>28134.8</v>
      </c>
      <c r="G33" s="87">
        <f>(D33/E33)/D37+F33/(B33*E33*D37)</f>
        <v>3.220646799379467</v>
      </c>
      <c r="H33" s="85">
        <f t="shared" si="17"/>
        <v>9837.587594549193</v>
      </c>
      <c r="I33" s="94">
        <f>H33/H37*I37</f>
        <v>1962.9808696618263</v>
      </c>
    </row>
    <row r="34" spans="1:9" ht="12.75">
      <c r="A34" s="53" t="s">
        <v>4</v>
      </c>
      <c r="B34" s="86">
        <v>1413</v>
      </c>
      <c r="C34" s="57">
        <v>10130.4</v>
      </c>
      <c r="D34" s="54">
        <f t="shared" si="18"/>
        <v>7.169426751592357</v>
      </c>
      <c r="E34" s="82">
        <v>1.174</v>
      </c>
      <c r="F34" s="57">
        <v>5122.3</v>
      </c>
      <c r="G34" s="87">
        <f>(D34/E34)/D37+F34/(B34*E34*D37)</f>
        <v>3.5610544179592507</v>
      </c>
      <c r="H34" s="85">
        <f t="shared" si="17"/>
        <v>2057.6433662586765</v>
      </c>
      <c r="I34" s="94">
        <f>H34/H37*I37</f>
        <v>410.57978144868923</v>
      </c>
    </row>
    <row r="35" spans="1:9" ht="12.75">
      <c r="A35" s="53" t="s">
        <v>5</v>
      </c>
      <c r="B35" s="86">
        <v>1820</v>
      </c>
      <c r="C35" s="57">
        <v>6660.2</v>
      </c>
      <c r="D35" s="54">
        <f t="shared" si="18"/>
        <v>3.659450549450549</v>
      </c>
      <c r="E35" s="82">
        <v>1.141</v>
      </c>
      <c r="F35" s="57">
        <v>11327.2</v>
      </c>
      <c r="G35" s="87">
        <f>(D35/E35)/D37+F35/(B35*E35*D37)</f>
        <v>3.3546985492311654</v>
      </c>
      <c r="H35" s="85">
        <f t="shared" si="17"/>
        <v>67.77956250409106</v>
      </c>
      <c r="I35" s="94">
        <f>H35/H37*I37</f>
        <v>13.524655640504696</v>
      </c>
    </row>
    <row r="36" spans="1:9" ht="12.75">
      <c r="A36" s="53" t="s">
        <v>6</v>
      </c>
      <c r="B36" s="86">
        <v>1264</v>
      </c>
      <c r="C36" s="57">
        <v>6360.6</v>
      </c>
      <c r="D36" s="54">
        <f t="shared" si="18"/>
        <v>5.032120253164558</v>
      </c>
      <c r="E36" s="82">
        <v>1.187</v>
      </c>
      <c r="F36" s="57">
        <v>6689.4</v>
      </c>
      <c r="G36" s="87">
        <f>(D36/E36)/D37+F36/(B36*E36*D37)</f>
        <v>3.368642003369456</v>
      </c>
      <c r="H36" s="85">
        <f t="shared" si="17"/>
        <v>815.9935063596982</v>
      </c>
      <c r="I36" s="94">
        <f>H36/H37*I37</f>
        <v>162.8224020734389</v>
      </c>
    </row>
    <row r="37" spans="1:9" ht="25.5">
      <c r="A37" s="55" t="s">
        <v>7</v>
      </c>
      <c r="B37" s="64">
        <f>SUM(B31:B36)</f>
        <v>24691</v>
      </c>
      <c r="C37" s="58">
        <f>SUM(C31:C36)</f>
        <v>63752.399999999994</v>
      </c>
      <c r="D37" s="59">
        <f t="shared" si="18"/>
        <v>2.582009639139767</v>
      </c>
      <c r="E37" s="60">
        <v>1</v>
      </c>
      <c r="F37" s="58">
        <f>SUM(F31:F36)</f>
        <v>155434.19999999998</v>
      </c>
      <c r="G37" s="61">
        <f>(D37/E37)/D37+F37/(B37*E37*D37)</f>
        <v>3.4380917424285204</v>
      </c>
      <c r="H37" s="62">
        <f>SUM(H31:H36)</f>
        <v>30694.27403575025</v>
      </c>
      <c r="I37" s="99">
        <v>6124.7</v>
      </c>
    </row>
    <row r="38" spans="1:14" ht="12.75">
      <c r="A38" s="8"/>
      <c r="B38" s="8"/>
      <c r="C38" s="9" t="s">
        <v>60</v>
      </c>
      <c r="D38" s="8"/>
      <c r="E38" s="8"/>
      <c r="F38" s="8"/>
      <c r="G38" s="8"/>
      <c r="H38" s="8"/>
      <c r="I38" s="8"/>
      <c r="J38" s="9"/>
      <c r="N38" s="8"/>
    </row>
    <row r="39" spans="1:1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18"/>
    </row>
    <row r="40" ht="12.75">
      <c r="J40" s="10"/>
    </row>
    <row r="42" ht="12.75">
      <c r="G42" s="1"/>
    </row>
  </sheetData>
  <sheetProtection/>
  <printOptions/>
  <pageMargins left="0.7086614173228347" right="0" top="0" bottom="0" header="0" footer="0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2.7109375" style="0" customWidth="1"/>
    <col min="2" max="2" width="13.8515625" style="0" customWidth="1"/>
    <col min="3" max="3" width="12.8515625" style="0" customWidth="1"/>
    <col min="4" max="4" width="15.28125" style="0" customWidth="1"/>
  </cols>
  <sheetData>
    <row r="1" spans="1:8" ht="18.75">
      <c r="A1" s="95"/>
      <c r="B1" s="95"/>
      <c r="C1" s="95"/>
      <c r="D1" s="95"/>
      <c r="E1" s="95"/>
      <c r="F1" s="1"/>
      <c r="G1" s="1"/>
      <c r="H1" s="1"/>
    </row>
    <row r="2" spans="1:8" ht="18.75">
      <c r="A2" s="95"/>
      <c r="B2" s="95"/>
      <c r="C2" s="95"/>
      <c r="D2" s="95"/>
      <c r="E2" s="95"/>
      <c r="F2" s="1"/>
      <c r="G2" s="1"/>
      <c r="H2" s="1"/>
    </row>
    <row r="3" spans="1:8" ht="12.75">
      <c r="A3" s="96"/>
      <c r="B3" s="1"/>
      <c r="C3" s="1"/>
      <c r="D3" s="1"/>
      <c r="E3" s="1"/>
      <c r="F3" s="1"/>
      <c r="G3" s="1"/>
      <c r="H3" s="1"/>
    </row>
    <row r="4" spans="1:8" ht="12.75">
      <c r="A4" s="96"/>
      <c r="B4" s="1"/>
      <c r="C4" s="1"/>
      <c r="D4" s="1"/>
      <c r="E4" s="1"/>
      <c r="F4" s="1"/>
      <c r="G4" s="1"/>
      <c r="H4" s="1"/>
    </row>
    <row r="5" spans="1:8" ht="12.75">
      <c r="A5" s="96"/>
      <c r="B5" s="1"/>
      <c r="C5" s="1"/>
      <c r="D5" s="1"/>
      <c r="E5" s="1"/>
      <c r="F5" s="1"/>
      <c r="G5" s="1"/>
      <c r="H5" s="1"/>
    </row>
    <row r="6" spans="1:8" ht="12.75">
      <c r="A6" s="96"/>
      <c r="B6" s="1"/>
      <c r="C6" s="1"/>
      <c r="D6" s="1"/>
      <c r="E6" s="1"/>
      <c r="F6" s="1"/>
      <c r="G6" s="1"/>
      <c r="H6" s="1"/>
    </row>
    <row r="7" spans="1:8" ht="12.75">
      <c r="A7" s="96"/>
      <c r="B7" s="1"/>
      <c r="C7" s="1"/>
      <c r="D7" s="1"/>
      <c r="E7" s="1"/>
      <c r="F7" s="1"/>
      <c r="G7" s="1"/>
      <c r="H7" s="1"/>
    </row>
    <row r="8" spans="1:8" ht="12.75">
      <c r="A8" s="96"/>
      <c r="B8" s="1"/>
      <c r="C8" s="1"/>
      <c r="D8" s="1"/>
      <c r="E8" s="1"/>
      <c r="F8" s="1"/>
      <c r="G8" s="1"/>
      <c r="H8" s="1"/>
    </row>
    <row r="9" spans="1:8" ht="12.75">
      <c r="A9" s="97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24" ht="18">
      <c r="C24" s="72"/>
    </row>
    <row r="29" ht="12.75">
      <c r="A29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2014-10-16T10:59:06Z</cp:lastPrinted>
  <dcterms:created xsi:type="dcterms:W3CDTF">1996-10-08T23:32:33Z</dcterms:created>
  <dcterms:modified xsi:type="dcterms:W3CDTF">2014-10-24T04:17:09Z</dcterms:modified>
  <cp:category/>
  <cp:version/>
  <cp:contentType/>
  <cp:contentStatus/>
</cp:coreProperties>
</file>