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45" windowWidth="12015" windowHeight="6030" tabRatio="667" activeTab="3"/>
  </bookViews>
  <sheets>
    <sheet name="ИБР" sheetId="1" r:id="rId1"/>
    <sheet name="ИНП" sheetId="2" r:id="rId2"/>
    <sheet name="Параметры модели" sheetId="3" r:id="rId3"/>
    <sheet name="Итоговая" sheetId="4" r:id="rId4"/>
    <sheet name="налоговый потенциал" sheetId="5" r:id="rId5"/>
  </sheets>
  <definedNames>
    <definedName name="_xlnm.Print_Titles" localSheetId="0">'ИБР'!$A:$A</definedName>
    <definedName name="_xlnm.Print_Titles" localSheetId="1">'ИНП'!$A:$A</definedName>
    <definedName name="_xlnm.Print_Titles" localSheetId="3">'Итоговая'!$B:$B</definedName>
  </definedNames>
  <calcPr fullCalcOnLoad="1"/>
</workbook>
</file>

<file path=xl/comments1.xml><?xml version="1.0" encoding="utf-8"?>
<comments xmlns="http://schemas.openxmlformats.org/spreadsheetml/2006/main">
  <authors>
    <author>Иванов Михаил</author>
  </authors>
  <commentList>
    <comment ref="B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9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46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46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46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61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61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61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</commentList>
</comments>
</file>

<file path=xl/sharedStrings.xml><?xml version="1.0" encoding="utf-8"?>
<sst xmlns="http://schemas.openxmlformats.org/spreadsheetml/2006/main" count="333" uniqueCount="117">
  <si>
    <t>Муниципальные образования</t>
  </si>
  <si>
    <t>Численность населения (чел.)</t>
  </si>
  <si>
    <t>Коэффициент дисперсности расселения</t>
  </si>
  <si>
    <t>ИБР</t>
  </si>
  <si>
    <t>ИНП</t>
  </si>
  <si>
    <t>Бюджетная обеспеченность после 1-го этапа распределения</t>
  </si>
  <si>
    <t>Трансферт 2-го этапа распределения РФФПМР(ГО) (тыс.руб.)</t>
  </si>
  <si>
    <t>Бюджетная обеспеченность после 2-го этапа распределения</t>
  </si>
  <si>
    <t>Доля средств, превышающая пороговый уровень, изымаемая в виде отрицательного трансферта (%)</t>
  </si>
  <si>
    <t>Ранг по БО (начиная с наименее обеспеченных)</t>
  </si>
  <si>
    <t>Доля сельского населения в общей чис-ти населения муниц. образования</t>
  </si>
  <si>
    <t>Численность населения (тыс.чел.)</t>
  </si>
  <si>
    <t>Численность населения проживающего в сельск.насел.пунктах с численностью населения менее 500 чел. (чел.)</t>
  </si>
  <si>
    <t>Численность сельского населения (чел.)</t>
  </si>
  <si>
    <t>Налог на доходы физических лиц</t>
  </si>
  <si>
    <t>Уровень расчетной бюджетной обеспеченности</t>
  </si>
  <si>
    <t>Критерий выравнивания бюджетной обеспеченности</t>
  </si>
  <si>
    <t>Объем части дотаций, распределяемых исходя из численности жителей (тыс.руб.)</t>
  </si>
  <si>
    <t>Объем части дотаций, распределяемых исходя из уровня расчетной бюджетной обеспеченности (тыс.руб.)</t>
  </si>
  <si>
    <t>Расчетные налоговые доходы после 1-го этапа распределения (тыс.руб.)</t>
  </si>
  <si>
    <t>Объем средств, необходимых для доведения БО до уровня X</t>
  </si>
  <si>
    <t>Соотношение между имеющимися средствами и объемом, необходимым для доведения БО до уровня X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</si>
  <si>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</si>
  <si>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</si>
  <si>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</si>
  <si>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</si>
  <si>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</si>
  <si>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</si>
  <si>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району</t>
  </si>
  <si>
    <t>Земельный налог</t>
  </si>
  <si>
    <t>Итого по поселениям</t>
  </si>
  <si>
    <t>Субсидия из бюджета поселения  (тыс.руб.)</t>
  </si>
  <si>
    <t>Пороговое значение расчетных налоговых доходов как критерий перечисления субсидий в бюджет района (тыс.руб.)</t>
  </si>
  <si>
    <t>Бюджетная обеспеченность после перечисления субсидий из бюджета поселения (тыс.руб.)</t>
  </si>
  <si>
    <t>Расчетные налоговые доходы после перечисления субсидий в бюджет района (тыс.руб.)</t>
  </si>
  <si>
    <t>Налог на имущество физических лиц</t>
  </si>
  <si>
    <t>МО, имеющие право на получение указанной части дотаций (1 - имеет право)</t>
  </si>
  <si>
    <t xml:space="preserve">Бюджетная обеспеченность </t>
  </si>
  <si>
    <t>Расчетные доходы в расчете на одного жителя (тыс.руб.)</t>
  </si>
  <si>
    <t>Трансферт 2-го этапа распределения РФФПП ("подтягивающий трансферт") (тыс.руб.)</t>
  </si>
  <si>
    <t>трансферт 1-го этапа распределения РФФПП ( в объеме субвенции из регионального фонда компенсации) из расчета на 1 жителя</t>
  </si>
  <si>
    <t>Доля расходов включенных в репрезентативную систему расходных обязательств (%)</t>
  </si>
  <si>
    <t>тыс. рублей</t>
  </si>
  <si>
    <t>*</t>
  </si>
  <si>
    <t>Параметры модели межбюджетных отношений по Березовскому району</t>
  </si>
  <si>
    <t xml:space="preserve"> </t>
  </si>
  <si>
    <t>2017 год</t>
  </si>
  <si>
    <t>Коэффициент стоимости предоставления коммунальных услуг для муниципальных учреждений</t>
  </si>
  <si>
    <t>Уд.вес нас., прожив-го в сельск.насел.пунктах с чис-тью менее 500 чел. к общей чис-ти нас. муниц. Образования (%)</t>
  </si>
  <si>
    <t xml:space="preserve">Доля расходов на содержание муниципального жилого фонда </t>
  </si>
  <si>
    <t xml:space="preserve">Доля расходов на муниципальное управление и организацию оказания услуг в области культуры </t>
  </si>
  <si>
    <t xml:space="preserve">Доля других видов расходов </t>
  </si>
  <si>
    <t>коэффициент заработной платы</t>
  </si>
  <si>
    <t xml:space="preserve">Коэффициент стоимости предоставления муниципальных услуг </t>
  </si>
  <si>
    <t>Удельный вес коэффициента стоимости предоставления коммунальных услуг</t>
  </si>
  <si>
    <t>Коэффициент структуры потребителей муниципальных услуг</t>
  </si>
  <si>
    <t>Коэффициент дифференциации расходов на содержание жилого фонда</t>
  </si>
  <si>
    <t>Площадь жилого фонда</t>
  </si>
  <si>
    <t xml:space="preserve"> индекс бюджетных расходов поселений (ИБР)</t>
  </si>
  <si>
    <t>Коэффициент масштаба</t>
  </si>
  <si>
    <t xml:space="preserve"> экономически обоснованные тарифы на теплоснабжение для муниципальных учреждений</t>
  </si>
  <si>
    <t xml:space="preserve"> экономически обоснованные тарифы на водоснабжение и водоотведение для муниципальных учреждений</t>
  </si>
  <si>
    <t xml:space="preserve"> экономически обоснованные тарифы на электроэнергию для муниципальных учреждений</t>
  </si>
  <si>
    <t>Объем районного фонда финансовой поддержки не включая отрицательные трансферты (тыс.руб.)</t>
  </si>
  <si>
    <t>Финансовая помощь из районного бюджета</t>
  </si>
  <si>
    <t>Объем районного фонда финансовой поддержки поселений (тыс.руб.)</t>
  </si>
  <si>
    <t xml:space="preserve">Расчетные налоговые доходы (тыс.руб.) в расчете на одного жителя </t>
  </si>
  <si>
    <t>Итого дотации из районного фонда финансовой поддержки поселений                              (1 этап + 2 этап)</t>
  </si>
  <si>
    <t>Объем средств, распределяемых исходя из численности жителей (окружные субвенции)</t>
  </si>
  <si>
    <t>Итого дотации из районного фонда финансовой поддержки поселений               (1 этап + 2 этап)</t>
  </si>
  <si>
    <t>2018 год</t>
  </si>
  <si>
    <t>2019 год</t>
  </si>
  <si>
    <t xml:space="preserve">Расчеты индексов бюджетных расходов поселений на 2018 год </t>
  </si>
  <si>
    <t xml:space="preserve">Расчеты индексов бюджетных расходов поселений на 2019 год </t>
  </si>
  <si>
    <t>Расчет индекса налогового потенциала поселений на 2018 год</t>
  </si>
  <si>
    <t>Расчет индекса налогового потенциала поселений на 2019 год</t>
  </si>
  <si>
    <t>Расчет трансфертов из районного фонда финансовой поддержки поселений на 2018 год</t>
  </si>
  <si>
    <t>Расчет трансфертов из районного фонда финансовой поддержки поселений на 2019 год</t>
  </si>
  <si>
    <t>Удельный вес коэффициента заработной платы (2011+2013)</t>
  </si>
  <si>
    <t xml:space="preserve">индекс потребительских цен </t>
  </si>
  <si>
    <t>Численность населения проживающего в сельск.насел.пунктах с численностью населения не более 500 чел. (чел.)</t>
  </si>
  <si>
    <t>Объем средств, распределяемых путем выравнивания БО (окружные субсидии+ бюджет района)</t>
  </si>
  <si>
    <t>Налоговый потенциал 2018 года (тыс. руб.)</t>
  </si>
  <si>
    <t>Налоговый потенциал на 1 жителя на 2018 (тыс.руб.)</t>
  </si>
  <si>
    <t>Индекс налогового потенциала 2018 года</t>
  </si>
  <si>
    <t>прогноз 2019 г.</t>
  </si>
  <si>
    <t>Налоговый потенциал 2019 года (тыс. руб.)</t>
  </si>
  <si>
    <t>Налоговый потенциал на 1 жителя на 2019 (тыс.руб.)</t>
  </si>
  <si>
    <t>Индекс налогового потенциала 2019 года</t>
  </si>
  <si>
    <t>Сельские поселения</t>
  </si>
  <si>
    <t>ПДj           НДФЛ</t>
  </si>
  <si>
    <t>НОРМj                  НДФЛ</t>
  </si>
  <si>
    <t>БНnj                    НДФЛ</t>
  </si>
  <si>
    <t>ПДj                       Налог на имущество физических лиц</t>
  </si>
  <si>
    <t>НОРМj                  Налог на имущество физических лиц</t>
  </si>
  <si>
    <t>БНnj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</si>
  <si>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</si>
  <si>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</si>
  <si>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</si>
  <si>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</t>
  </si>
  <si>
    <t>ИТОГО по району</t>
  </si>
  <si>
    <t>с. п. Хулимсунт</t>
  </si>
  <si>
    <t>НПnj                         НДФЛ                  ( тыс. рублей)</t>
  </si>
  <si>
    <t>НПnj                         Земельный налог      (тыс. рублей)</t>
  </si>
  <si>
    <t>НПnj                         Налог на имущество физических лиц                    ( тыс. рублей)</t>
  </si>
  <si>
    <t>Расчет налогового потенциала поселений на 2018 год</t>
  </si>
  <si>
    <t>Расчет налогового потенциала поселений на 2019 год</t>
  </si>
  <si>
    <t>Расчет налогового потенциала поселений на 2020 год</t>
  </si>
  <si>
    <t>Расчет индекса налогового потенциала поселений на 2020 год</t>
  </si>
  <si>
    <t>прогноз 2018г.</t>
  </si>
  <si>
    <t>прогноз 2020 г.</t>
  </si>
  <si>
    <t>Налоговый потенциал 2020 года (тыс. руб.)</t>
  </si>
  <si>
    <t>Налоговый потенциал на 1 жителя на 2020 (тыс.руб.)</t>
  </si>
  <si>
    <t>Индекс налогового потенциала 2020 года</t>
  </si>
  <si>
    <t>2020 год</t>
  </si>
  <si>
    <t xml:space="preserve">Расчеты индексов бюджетных расходов поселений на 2020 год </t>
  </si>
  <si>
    <t>Расчет трансфертов из районного фонда финансовой поддержки поселений на 2020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</si>
</sst>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  <numFmt numFmtId="196" formatCode="#,##0.00000"/>
    <numFmt numFmtId="197" formatCode="_(* #,##0.0_);_(* \(#,##0.0\);_(* &quot;-&quot;??_);_(@_)"/>
    <numFmt numFmtId="198" formatCode="0.0000000000"/>
    <numFmt numFmtId="199" formatCode="0.00000000000"/>
    <numFmt numFmtId="200" formatCode="_-* #,##0.0_р_._-;\-* #,##0.0_р_._-;_-* &quot;-&quot;?_р_._-;_-@_-"/>
    <numFmt numFmtId="201" formatCode="#,##0.000_ ;\-#,##0.000\ "/>
    <numFmt numFmtId="202" formatCode="#,##0.00_ ;\-#,##0.00\ "/>
    <numFmt numFmtId="203" formatCode="_-* #,##0.00_р_._-;\-* #,##0.00_р_._-;_-* &quot;-&quot;?_р_._-;_-@_-"/>
    <numFmt numFmtId="204" formatCode="_-* #,##0_р_._-;\-* #,##0_р_._-;_-* &quot;-&quot;?_р_._-;_-@_-"/>
  </numFmts>
  <fonts count="7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Arial Cyr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9" fontId="1" fillId="33" borderId="0" xfId="6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66" fontId="2" fillId="33" borderId="0" xfId="57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70" fontId="2" fillId="33" borderId="0" xfId="57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178" fontId="2" fillId="33" borderId="0" xfId="6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" fontId="5" fillId="33" borderId="0" xfId="60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4" fillId="34" borderId="11" xfId="0" applyFont="1" applyFill="1" applyBorder="1" applyAlignment="1">
      <alignment/>
    </xf>
    <xf numFmtId="3" fontId="15" fillId="33" borderId="12" xfId="60" applyNumberFormat="1" applyFont="1" applyFill="1" applyBorder="1" applyAlignment="1">
      <alignment/>
    </xf>
    <xf numFmtId="3" fontId="15" fillId="33" borderId="13" xfId="60" applyNumberFormat="1" applyFont="1" applyFill="1" applyBorder="1" applyAlignment="1">
      <alignment/>
    </xf>
    <xf numFmtId="3" fontId="15" fillId="33" borderId="14" xfId="60" applyNumberFormat="1" applyFont="1" applyFill="1" applyBorder="1" applyAlignment="1">
      <alignment/>
    </xf>
    <xf numFmtId="167" fontId="15" fillId="34" borderId="11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/>
    </xf>
    <xf numFmtId="3" fontId="15" fillId="34" borderId="11" xfId="60" applyNumberFormat="1" applyFont="1" applyFill="1" applyBorder="1" applyAlignment="1">
      <alignment/>
    </xf>
    <xf numFmtId="1" fontId="15" fillId="34" borderId="11" xfId="0" applyNumberFormat="1" applyFont="1" applyFill="1" applyBorder="1" applyAlignment="1">
      <alignment/>
    </xf>
    <xf numFmtId="3" fontId="6" fillId="34" borderId="12" xfId="60" applyNumberFormat="1" applyFont="1" applyFill="1" applyBorder="1" applyAlignment="1">
      <alignment/>
    </xf>
    <xf numFmtId="167" fontId="16" fillId="34" borderId="12" xfId="0" applyNumberFormat="1" applyFont="1" applyFill="1" applyBorder="1" applyAlignment="1">
      <alignment/>
    </xf>
    <xf numFmtId="167" fontId="16" fillId="34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7" fillId="34" borderId="12" xfId="0" applyNumberFormat="1" applyFont="1" applyFill="1" applyBorder="1" applyAlignment="1">
      <alignment/>
    </xf>
    <xf numFmtId="178" fontId="6" fillId="34" borderId="12" xfId="60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3" fontId="18" fillId="34" borderId="12" xfId="60" applyNumberFormat="1" applyFont="1" applyFill="1" applyBorder="1" applyAlignment="1">
      <alignment vertical="center" wrapText="1"/>
    </xf>
    <xf numFmtId="177" fontId="18" fillId="34" borderId="12" xfId="60" applyNumberFormat="1" applyFont="1" applyFill="1" applyBorder="1" applyAlignment="1">
      <alignment horizontal="right" vertical="center" wrapText="1"/>
    </xf>
    <xf numFmtId="3" fontId="16" fillId="34" borderId="12" xfId="6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176" fontId="1" fillId="35" borderId="0" xfId="60" applyNumberFormat="1" applyFont="1" applyFill="1" applyAlignment="1">
      <alignment vertical="center" wrapText="1"/>
    </xf>
    <xf numFmtId="0" fontId="1" fillId="35" borderId="0" xfId="0" applyFont="1" applyFill="1" applyAlignment="1">
      <alignment/>
    </xf>
    <xf numFmtId="0" fontId="11" fillId="36" borderId="0" xfId="0" applyFont="1" applyFill="1" applyAlignment="1">
      <alignment/>
    </xf>
    <xf numFmtId="176" fontId="1" fillId="36" borderId="0" xfId="60" applyNumberFormat="1" applyFont="1" applyFill="1" applyAlignment="1">
      <alignment vertical="center" wrapText="1"/>
    </xf>
    <xf numFmtId="0" fontId="1" fillId="36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6" fillId="34" borderId="12" xfId="6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center" wrapText="1"/>
    </xf>
    <xf numFmtId="166" fontId="11" fillId="33" borderId="0" xfId="0" applyNumberFormat="1" applyFont="1" applyFill="1" applyBorder="1" applyAlignment="1">
      <alignment horizontal="right"/>
    </xf>
    <xf numFmtId="165" fontId="11" fillId="33" borderId="0" xfId="0" applyNumberFormat="1" applyFont="1" applyFill="1" applyBorder="1" applyAlignment="1">
      <alignment/>
    </xf>
    <xf numFmtId="0" fontId="10" fillId="33" borderId="0" xfId="53" applyFont="1" applyFill="1" applyBorder="1" applyAlignment="1">
      <alignment vertical="center" wrapText="1"/>
      <protection/>
    </xf>
    <xf numFmtId="197" fontId="18" fillId="34" borderId="12" xfId="6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179" fontId="1" fillId="33" borderId="0" xfId="6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3" fontId="15" fillId="33" borderId="12" xfId="60" applyNumberFormat="1" applyFont="1" applyFill="1" applyBorder="1" applyAlignment="1">
      <alignment horizontal="center"/>
    </xf>
    <xf numFmtId="167" fontId="15" fillId="33" borderId="12" xfId="0" applyNumberFormat="1" applyFont="1" applyFill="1" applyBorder="1" applyAlignment="1">
      <alignment horizontal="center"/>
    </xf>
    <xf numFmtId="3" fontId="15" fillId="33" borderId="13" xfId="60" applyNumberFormat="1" applyFont="1" applyFill="1" applyBorder="1" applyAlignment="1">
      <alignment horizontal="center"/>
    </xf>
    <xf numFmtId="167" fontId="15" fillId="33" borderId="13" xfId="0" applyNumberFormat="1" applyFont="1" applyFill="1" applyBorder="1" applyAlignment="1">
      <alignment horizontal="center"/>
    </xf>
    <xf numFmtId="3" fontId="15" fillId="33" borderId="14" xfId="60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 horizontal="center"/>
    </xf>
    <xf numFmtId="164" fontId="6" fillId="34" borderId="12" xfId="60" applyNumberFormat="1" applyFont="1" applyFill="1" applyBorder="1" applyAlignment="1">
      <alignment horizontal="center"/>
    </xf>
    <xf numFmtId="167" fontId="15" fillId="34" borderId="11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3" fontId="15" fillId="34" borderId="11" xfId="6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3" fontId="16" fillId="34" borderId="12" xfId="60" applyNumberFormat="1" applyFont="1" applyFill="1" applyBorder="1" applyAlignment="1">
      <alignment horizontal="center"/>
    </xf>
    <xf numFmtId="167" fontId="16" fillId="34" borderId="12" xfId="0" applyNumberFormat="1" applyFont="1" applyFill="1" applyBorder="1" applyAlignment="1">
      <alignment horizontal="center"/>
    </xf>
    <xf numFmtId="167" fontId="16" fillId="34" borderId="11" xfId="0" applyNumberFormat="1" applyFont="1" applyFill="1" applyBorder="1" applyAlignment="1">
      <alignment horizontal="center"/>
    </xf>
    <xf numFmtId="2" fontId="16" fillId="34" borderId="11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3" fontId="6" fillId="34" borderId="12" xfId="60" applyNumberFormat="1" applyFont="1" applyFill="1" applyBorder="1" applyAlignment="1">
      <alignment horizontal="center"/>
    </xf>
    <xf numFmtId="1" fontId="15" fillId="34" borderId="11" xfId="0" applyNumberFormat="1" applyFont="1" applyFill="1" applyBorder="1" applyAlignment="1">
      <alignment horizontal="center"/>
    </xf>
    <xf numFmtId="178" fontId="6" fillId="34" borderId="12" xfId="60" applyNumberFormat="1" applyFont="1" applyFill="1" applyBorder="1" applyAlignment="1">
      <alignment horizontal="center"/>
    </xf>
    <xf numFmtId="167" fontId="6" fillId="34" borderId="12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9" fontId="20" fillId="0" borderId="0" xfId="6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6" fontId="11" fillId="33" borderId="0" xfId="0" applyNumberFormat="1" applyFont="1" applyFill="1" applyBorder="1" applyAlignment="1">
      <alignment horizontal="center" wrapText="1"/>
    </xf>
    <xf numFmtId="166" fontId="11" fillId="33" borderId="0" xfId="0" applyNumberFormat="1" applyFont="1" applyFill="1" applyBorder="1" applyAlignment="1">
      <alignment horizontal="right"/>
    </xf>
    <xf numFmtId="0" fontId="4" fillId="33" borderId="0" xfId="53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3" fontId="5" fillId="33" borderId="0" xfId="60" applyNumberFormat="1" applyFont="1" applyFill="1" applyBorder="1" applyAlignment="1">
      <alignment horizontal="right"/>
    </xf>
    <xf numFmtId="9" fontId="5" fillId="33" borderId="0" xfId="57" applyFont="1" applyFill="1" applyBorder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167" fontId="1" fillId="33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7" fontId="2" fillId="34" borderId="12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0" xfId="5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3" fontId="14" fillId="34" borderId="12" xfId="60" applyNumberFormat="1" applyFont="1" applyFill="1" applyBorder="1" applyAlignment="1">
      <alignment horizontal="center"/>
    </xf>
    <xf numFmtId="167" fontId="14" fillId="34" borderId="12" xfId="0" applyNumberFormat="1" applyFont="1" applyFill="1" applyBorder="1" applyAlignment="1">
      <alignment horizontal="center"/>
    </xf>
    <xf numFmtId="167" fontId="14" fillId="34" borderId="11" xfId="0" applyNumberFormat="1" applyFont="1" applyFill="1" applyBorder="1" applyAlignment="1">
      <alignment horizontal="center"/>
    </xf>
    <xf numFmtId="2" fontId="14" fillId="34" borderId="11" xfId="0" applyNumberFormat="1" applyFont="1" applyFill="1" applyBorder="1" applyAlignment="1">
      <alignment horizontal="center"/>
    </xf>
    <xf numFmtId="3" fontId="11" fillId="34" borderId="12" xfId="60" applyNumberFormat="1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3" fontId="11" fillId="34" borderId="12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center"/>
    </xf>
    <xf numFmtId="166" fontId="4" fillId="34" borderId="12" xfId="57" applyNumberFormat="1" applyFont="1" applyFill="1" applyBorder="1" applyAlignment="1">
      <alignment horizontal="center"/>
    </xf>
    <xf numFmtId="170" fontId="4" fillId="34" borderId="12" xfId="57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70" fontId="4" fillId="34" borderId="12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170" fontId="27" fillId="34" borderId="12" xfId="0" applyNumberFormat="1" applyFont="1" applyFill="1" applyBorder="1" applyAlignment="1">
      <alignment horizontal="center"/>
    </xf>
    <xf numFmtId="201" fontId="10" fillId="34" borderId="12" xfId="60" applyNumberFormat="1" applyFont="1" applyFill="1" applyBorder="1" applyAlignment="1">
      <alignment horizontal="center"/>
    </xf>
    <xf numFmtId="201" fontId="4" fillId="34" borderId="12" xfId="6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4" fillId="37" borderId="0" xfId="0" applyFont="1" applyFill="1" applyAlignment="1">
      <alignment/>
    </xf>
    <xf numFmtId="3" fontId="2" fillId="37" borderId="0" xfId="0" applyNumberFormat="1" applyFont="1" applyFill="1" applyBorder="1" applyAlignment="1">
      <alignment/>
    </xf>
    <xf numFmtId="170" fontId="2" fillId="37" borderId="0" xfId="0" applyNumberFormat="1" applyFont="1" applyFill="1" applyBorder="1" applyAlignment="1">
      <alignment/>
    </xf>
    <xf numFmtId="166" fontId="2" fillId="37" borderId="0" xfId="57" applyNumberFormat="1" applyFont="1" applyFill="1" applyBorder="1" applyAlignment="1">
      <alignment/>
    </xf>
    <xf numFmtId="167" fontId="2" fillId="37" borderId="0" xfId="0" applyNumberFormat="1" applyFont="1" applyFill="1" applyBorder="1" applyAlignment="1">
      <alignment/>
    </xf>
    <xf numFmtId="170" fontId="2" fillId="37" borderId="0" xfId="57" applyNumberFormat="1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3" fontId="2" fillId="38" borderId="0" xfId="0" applyNumberFormat="1" applyFont="1" applyFill="1" applyBorder="1" applyAlignment="1">
      <alignment/>
    </xf>
    <xf numFmtId="170" fontId="2" fillId="38" borderId="0" xfId="0" applyNumberFormat="1" applyFont="1" applyFill="1" applyBorder="1" applyAlignment="1">
      <alignment/>
    </xf>
    <xf numFmtId="166" fontId="2" fillId="38" borderId="0" xfId="57" applyNumberFormat="1" applyFont="1" applyFill="1" applyBorder="1" applyAlignment="1">
      <alignment/>
    </xf>
    <xf numFmtId="167" fontId="2" fillId="38" borderId="0" xfId="0" applyNumberFormat="1" applyFont="1" applyFill="1" applyBorder="1" applyAlignment="1">
      <alignment/>
    </xf>
    <xf numFmtId="170" fontId="2" fillId="38" borderId="0" xfId="57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/>
    </xf>
    <xf numFmtId="178" fontId="0" fillId="33" borderId="0" xfId="0" applyNumberFormat="1" applyFill="1" applyAlignment="1">
      <alignment/>
    </xf>
    <xf numFmtId="43" fontId="6" fillId="35" borderId="12" xfId="60" applyNumberFormat="1" applyFont="1" applyFill="1" applyBorder="1" applyAlignment="1">
      <alignment horizontal="center"/>
    </xf>
    <xf numFmtId="4" fontId="16" fillId="35" borderId="12" xfId="60" applyNumberFormat="1" applyFont="1" applyFill="1" applyBorder="1" applyAlignment="1">
      <alignment horizontal="center"/>
    </xf>
    <xf numFmtId="43" fontId="6" fillId="35" borderId="12" xfId="60" applyFont="1" applyFill="1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167" fontId="15" fillId="33" borderId="15" xfId="0" applyNumberFormat="1" applyFont="1" applyFill="1" applyBorder="1" applyAlignment="1">
      <alignment/>
    </xf>
    <xf numFmtId="167" fontId="15" fillId="33" borderId="16" xfId="0" applyNumberFormat="1" applyFont="1" applyFill="1" applyBorder="1" applyAlignment="1">
      <alignment/>
    </xf>
    <xf numFmtId="167" fontId="15" fillId="33" borderId="17" xfId="0" applyNumberFormat="1" applyFont="1" applyFill="1" applyBorder="1" applyAlignment="1">
      <alignment/>
    </xf>
    <xf numFmtId="167" fontId="15" fillId="34" borderId="18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78" fontId="11" fillId="33" borderId="20" xfId="60" applyNumberFormat="1" applyFont="1" applyFill="1" applyBorder="1" applyAlignment="1">
      <alignment/>
    </xf>
    <xf numFmtId="166" fontId="11" fillId="33" borderId="12" xfId="0" applyNumberFormat="1" applyFont="1" applyFill="1" applyBorder="1" applyAlignment="1">
      <alignment horizontal="right"/>
    </xf>
    <xf numFmtId="166" fontId="5" fillId="33" borderId="12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justify"/>
    </xf>
    <xf numFmtId="166" fontId="17" fillId="33" borderId="22" xfId="0" applyNumberFormat="1" applyFont="1" applyFill="1" applyBorder="1" applyAlignment="1">
      <alignment horizontal="right"/>
    </xf>
    <xf numFmtId="0" fontId="18" fillId="33" borderId="19" xfId="53" applyFont="1" applyFill="1" applyBorder="1" applyAlignment="1">
      <alignment horizontal="center" vertical="center" wrapText="1"/>
      <protection/>
    </xf>
    <xf numFmtId="0" fontId="18" fillId="33" borderId="23" xfId="0" applyFont="1" applyFill="1" applyBorder="1" applyAlignment="1">
      <alignment horizontal="left" vertical="center" wrapText="1"/>
    </xf>
    <xf numFmtId="200" fontId="11" fillId="33" borderId="12" xfId="0" applyNumberFormat="1" applyFont="1" applyFill="1" applyBorder="1" applyAlignment="1">
      <alignment horizontal="center"/>
    </xf>
    <xf numFmtId="0" fontId="17" fillId="33" borderId="23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164" fontId="5" fillId="33" borderId="18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/>
    </xf>
    <xf numFmtId="176" fontId="4" fillId="33" borderId="28" xfId="60" applyNumberFormat="1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/>
    </xf>
    <xf numFmtId="197" fontId="17" fillId="33" borderId="12" xfId="60" applyNumberFormat="1" applyFont="1" applyFill="1" applyBorder="1" applyAlignment="1">
      <alignment vertical="center" wrapText="1"/>
    </xf>
    <xf numFmtId="197" fontId="17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66" fontId="10" fillId="33" borderId="12" xfId="57" applyNumberFormat="1" applyFont="1" applyFill="1" applyBorder="1" applyAlignment="1">
      <alignment horizontal="center"/>
    </xf>
    <xf numFmtId="167" fontId="10" fillId="33" borderId="12" xfId="0" applyNumberFormat="1" applyFont="1" applyFill="1" applyBorder="1" applyAlignment="1">
      <alignment horizontal="center"/>
    </xf>
    <xf numFmtId="170" fontId="10" fillId="33" borderId="12" xfId="57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70" fontId="10" fillId="33" borderId="12" xfId="0" applyNumberFormat="1" applyFont="1" applyFill="1" applyBorder="1" applyAlignment="1">
      <alignment horizontal="center"/>
    </xf>
    <xf numFmtId="201" fontId="10" fillId="33" borderId="12" xfId="60" applyNumberFormat="1" applyFont="1" applyFill="1" applyBorder="1" applyAlignment="1">
      <alignment horizontal="center"/>
    </xf>
    <xf numFmtId="178" fontId="10" fillId="33" borderId="12" xfId="60" applyNumberFormat="1" applyFont="1" applyFill="1" applyBorder="1" applyAlignment="1">
      <alignment horizontal="center"/>
    </xf>
    <xf numFmtId="202" fontId="10" fillId="33" borderId="12" xfId="60" applyNumberFormat="1" applyFont="1" applyFill="1" applyBorder="1" applyAlignment="1">
      <alignment horizontal="center"/>
    </xf>
    <xf numFmtId="170" fontId="13" fillId="33" borderId="12" xfId="57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43" fontId="10" fillId="33" borderId="12" xfId="6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60" applyNumberFormat="1" applyFont="1" applyFill="1" applyBorder="1" applyAlignment="1">
      <alignment horizontal="center"/>
    </xf>
    <xf numFmtId="167" fontId="13" fillId="33" borderId="12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167" fontId="15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167" fontId="15" fillId="33" borderId="13" xfId="0" applyNumberFormat="1" applyFont="1" applyFill="1" applyBorder="1" applyAlignment="1">
      <alignment/>
    </xf>
    <xf numFmtId="1" fontId="15" fillId="33" borderId="13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2" fontId="15" fillId="33" borderId="14" xfId="0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/>
    </xf>
    <xf numFmtId="1" fontId="15" fillId="33" borderId="14" xfId="0" applyNumberFormat="1" applyFont="1" applyFill="1" applyBorder="1" applyAlignment="1">
      <alignment horizontal="center"/>
    </xf>
    <xf numFmtId="168" fontId="15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/>
    </xf>
    <xf numFmtId="168" fontId="15" fillId="33" borderId="13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/>
    </xf>
    <xf numFmtId="168" fontId="15" fillId="33" borderId="14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/>
    </xf>
    <xf numFmtId="168" fontId="13" fillId="33" borderId="12" xfId="0" applyNumberFormat="1" applyFont="1" applyFill="1" applyBorder="1" applyAlignment="1">
      <alignment horizontal="center"/>
    </xf>
    <xf numFmtId="167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168" fontId="13" fillId="33" borderId="13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17" fillId="33" borderId="30" xfId="0" applyFont="1" applyFill="1" applyBorder="1" applyAlignment="1" quotePrefix="1">
      <alignment horizontal="left" vertical="center" wrapText="1" readingOrder="1"/>
    </xf>
    <xf numFmtId="0" fontId="17" fillId="33" borderId="12" xfId="0" applyFont="1" applyFill="1" applyBorder="1" applyAlignment="1">
      <alignment wrapText="1"/>
    </xf>
    <xf numFmtId="43" fontId="0" fillId="33" borderId="0" xfId="60" applyFont="1" applyFill="1" applyAlignment="1">
      <alignment/>
    </xf>
    <xf numFmtId="0" fontId="24" fillId="33" borderId="0" xfId="0" applyFont="1" applyFill="1" applyBorder="1" applyAlignment="1">
      <alignment horizontal="center" vertical="center" wrapText="1"/>
    </xf>
    <xf numFmtId="167" fontId="24" fillId="33" borderId="0" xfId="0" applyNumberFormat="1" applyFont="1" applyFill="1" applyBorder="1" applyAlignment="1">
      <alignment horizontal="center" vertical="center" wrapText="1"/>
    </xf>
    <xf numFmtId="167" fontId="25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164" fontId="13" fillId="33" borderId="0" xfId="60" applyNumberFormat="1" applyFont="1" applyFill="1" applyBorder="1" applyAlignment="1" applyProtection="1">
      <alignment vertical="center" wrapText="1"/>
      <protection locked="0"/>
    </xf>
    <xf numFmtId="165" fontId="13" fillId="33" borderId="0" xfId="60" applyNumberFormat="1" applyFont="1" applyFill="1" applyBorder="1" applyAlignment="1">
      <alignment vertical="center" wrapText="1"/>
    </xf>
    <xf numFmtId="164" fontId="13" fillId="33" borderId="0" xfId="60" applyNumberFormat="1" applyFont="1" applyFill="1" applyBorder="1" applyAlignment="1">
      <alignment vertical="center" wrapText="1"/>
    </xf>
    <xf numFmtId="164" fontId="14" fillId="33" borderId="0" xfId="60" applyNumberFormat="1" applyFont="1" applyFill="1" applyBorder="1" applyAlignment="1">
      <alignment vertical="center" wrapText="1"/>
    </xf>
    <xf numFmtId="165" fontId="14" fillId="33" borderId="0" xfId="60" applyNumberFormat="1" applyFont="1" applyFill="1" applyBorder="1" applyAlignment="1">
      <alignment vertical="center" wrapText="1"/>
    </xf>
    <xf numFmtId="176" fontId="1" fillId="33" borderId="0" xfId="0" applyNumberFormat="1" applyFont="1" applyFill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164" fontId="13" fillId="0" borderId="12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60" applyNumberFormat="1" applyFont="1" applyFill="1" applyBorder="1" applyAlignment="1">
      <alignment horizontal="center" vertical="center" wrapText="1"/>
    </xf>
    <xf numFmtId="165" fontId="14" fillId="0" borderId="12" xfId="60" applyNumberFormat="1" applyFont="1" applyFill="1" applyBorder="1" applyAlignment="1">
      <alignment horizontal="center" vertical="center" wrapText="1"/>
    </xf>
    <xf numFmtId="164" fontId="13" fillId="36" borderId="12" xfId="60" applyNumberFormat="1" applyFont="1" applyFill="1" applyBorder="1" applyAlignment="1">
      <alignment horizontal="center" vertical="center" wrapText="1"/>
    </xf>
    <xf numFmtId="167" fontId="24" fillId="36" borderId="12" xfId="0" applyNumberFormat="1" applyFont="1" applyFill="1" applyBorder="1" applyAlignment="1">
      <alignment horizontal="center" vertical="center" wrapText="1"/>
    </xf>
    <xf numFmtId="178" fontId="14" fillId="36" borderId="12" xfId="60" applyNumberFormat="1" applyFont="1" applyFill="1" applyBorder="1" applyAlignment="1">
      <alignment horizontal="center" vertical="center" wrapText="1"/>
    </xf>
    <xf numFmtId="176" fontId="17" fillId="33" borderId="12" xfId="60" applyNumberFormat="1" applyFont="1" applyFill="1" applyBorder="1" applyAlignment="1">
      <alignment vertical="center" wrapText="1"/>
    </xf>
    <xf numFmtId="176" fontId="17" fillId="33" borderId="12" xfId="60" applyNumberFormat="1" applyFont="1" applyFill="1" applyBorder="1" applyAlignment="1">
      <alignment horizontal="left" vertical="center" wrapText="1"/>
    </xf>
    <xf numFmtId="176" fontId="17" fillId="33" borderId="12" xfId="60" applyNumberFormat="1" applyFont="1" applyFill="1" applyBorder="1" applyAlignment="1">
      <alignment horizontal="center" vertical="center" wrapText="1"/>
    </xf>
    <xf numFmtId="197" fontId="17" fillId="33" borderId="12" xfId="60" applyNumberFormat="1" applyFont="1" applyFill="1" applyBorder="1" applyAlignment="1">
      <alignment horizontal="center" vertical="center" wrapText="1"/>
    </xf>
    <xf numFmtId="178" fontId="17" fillId="33" borderId="12" xfId="60" applyNumberFormat="1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center"/>
    </xf>
    <xf numFmtId="197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 horizontal="center"/>
    </xf>
    <xf numFmtId="0" fontId="18" fillId="39" borderId="12" xfId="0" applyFont="1" applyFill="1" applyBorder="1" applyAlignment="1">
      <alignment/>
    </xf>
    <xf numFmtId="3" fontId="18" fillId="39" borderId="12" xfId="60" applyNumberFormat="1" applyFont="1" applyFill="1" applyBorder="1" applyAlignment="1">
      <alignment vertical="center" wrapText="1"/>
    </xf>
    <xf numFmtId="177" fontId="18" fillId="39" borderId="12" xfId="60" applyNumberFormat="1" applyFont="1" applyFill="1" applyBorder="1" applyAlignment="1">
      <alignment horizontal="right" vertical="center" wrapText="1"/>
    </xf>
    <xf numFmtId="167" fontId="18" fillId="39" borderId="12" xfId="0" applyNumberFormat="1" applyFont="1" applyFill="1" applyBorder="1" applyAlignment="1">
      <alignment/>
    </xf>
    <xf numFmtId="197" fontId="18" fillId="39" borderId="12" xfId="60" applyNumberFormat="1" applyFont="1" applyFill="1" applyBorder="1" applyAlignment="1">
      <alignment vertical="center" wrapText="1"/>
    </xf>
    <xf numFmtId="178" fontId="18" fillId="39" borderId="12" xfId="60" applyNumberFormat="1" applyFont="1" applyFill="1" applyBorder="1" applyAlignment="1">
      <alignment vertical="center" wrapText="1"/>
    </xf>
    <xf numFmtId="164" fontId="18" fillId="39" borderId="12" xfId="0" applyNumberFormat="1" applyFont="1" applyFill="1" applyBorder="1" applyAlignment="1">
      <alignment/>
    </xf>
    <xf numFmtId="197" fontId="18" fillId="39" borderId="12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177" fontId="18" fillId="33" borderId="0" xfId="6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177" fontId="18" fillId="33" borderId="0" xfId="60" applyNumberFormat="1" applyFont="1" applyFill="1" applyBorder="1" applyAlignment="1">
      <alignment horizontal="right" vertical="center" wrapText="1"/>
    </xf>
    <xf numFmtId="197" fontId="17" fillId="33" borderId="15" xfId="0" applyNumberFormat="1" applyFont="1" applyFill="1" applyBorder="1" applyAlignment="1">
      <alignment/>
    </xf>
    <xf numFmtId="197" fontId="18" fillId="34" borderId="15" xfId="60" applyNumberFormat="1" applyFont="1" applyFill="1" applyBorder="1" applyAlignment="1">
      <alignment horizontal="right" vertical="center" wrapText="1"/>
    </xf>
    <xf numFmtId="178" fontId="17" fillId="33" borderId="15" xfId="60" applyNumberFormat="1" applyFont="1" applyFill="1" applyBorder="1" applyAlignment="1">
      <alignment/>
    </xf>
    <xf numFmtId="9" fontId="17" fillId="33" borderId="15" xfId="57" applyFont="1" applyFill="1" applyBorder="1" applyAlignment="1">
      <alignment/>
    </xf>
    <xf numFmtId="9" fontId="5" fillId="33" borderId="12" xfId="57" applyFont="1" applyFill="1" applyBorder="1" applyAlignment="1">
      <alignment horizontal="center"/>
    </xf>
    <xf numFmtId="9" fontId="5" fillId="33" borderId="20" xfId="57" applyFont="1" applyFill="1" applyBorder="1" applyAlignment="1">
      <alignment horizontal="center"/>
    </xf>
    <xf numFmtId="178" fontId="17" fillId="33" borderId="16" xfId="60" applyNumberFormat="1" applyFont="1" applyFill="1" applyBorder="1" applyAlignment="1">
      <alignment/>
    </xf>
    <xf numFmtId="178" fontId="5" fillId="33" borderId="12" xfId="60" applyNumberFormat="1" applyFont="1" applyFill="1" applyBorder="1" applyAlignment="1">
      <alignment horizontal="center"/>
    </xf>
    <xf numFmtId="178" fontId="5" fillId="33" borderId="20" xfId="60" applyNumberFormat="1" applyFont="1" applyFill="1" applyBorder="1" applyAlignment="1">
      <alignment horizontal="right"/>
    </xf>
    <xf numFmtId="164" fontId="17" fillId="33" borderId="31" xfId="0" applyNumberFormat="1" applyFont="1" applyFill="1" applyBorder="1" applyAlignment="1">
      <alignment/>
    </xf>
    <xf numFmtId="178" fontId="5" fillId="33" borderId="20" xfId="60" applyNumberFormat="1" applyFont="1" applyFill="1" applyBorder="1" applyAlignment="1">
      <alignment horizontal="center"/>
    </xf>
    <xf numFmtId="164" fontId="17" fillId="33" borderId="18" xfId="0" applyNumberFormat="1" applyFont="1" applyFill="1" applyBorder="1" applyAlignment="1">
      <alignment/>
    </xf>
    <xf numFmtId="0" fontId="17" fillId="33" borderId="19" xfId="0" applyFont="1" applyFill="1" applyBorder="1" applyAlignment="1">
      <alignment/>
    </xf>
    <xf numFmtId="166" fontId="17" fillId="33" borderId="20" xfId="57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166" fontId="17" fillId="33" borderId="32" xfId="57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65" fontId="13" fillId="0" borderId="12" xfId="60" applyNumberFormat="1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7" fillId="33" borderId="12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170" fontId="30" fillId="33" borderId="12" xfId="0" applyNumberFormat="1" applyFont="1" applyFill="1" applyBorder="1" applyAlignment="1">
      <alignment horizontal="center"/>
    </xf>
    <xf numFmtId="201" fontId="10" fillId="33" borderId="12" xfId="60" applyNumberFormat="1" applyFont="1" applyFill="1" applyBorder="1" applyAlignment="1">
      <alignment horizontal="center"/>
    </xf>
    <xf numFmtId="167" fontId="4" fillId="13" borderId="12" xfId="0" applyNumberFormat="1" applyFont="1" applyFill="1" applyBorder="1" applyAlignment="1">
      <alignment horizontal="center"/>
    </xf>
    <xf numFmtId="167" fontId="2" fillId="13" borderId="12" xfId="0" applyNumberFormat="1" applyFont="1" applyFill="1" applyBorder="1" applyAlignment="1">
      <alignment horizontal="center"/>
    </xf>
    <xf numFmtId="0" fontId="4" fillId="12" borderId="0" xfId="0" applyFont="1" applyFill="1" applyAlignment="1">
      <alignment/>
    </xf>
    <xf numFmtId="3" fontId="2" fillId="12" borderId="0" xfId="0" applyNumberFormat="1" applyFont="1" applyFill="1" applyBorder="1" applyAlignment="1">
      <alignment/>
    </xf>
    <xf numFmtId="170" fontId="2" fillId="12" borderId="0" xfId="0" applyNumberFormat="1" applyFont="1" applyFill="1" applyBorder="1" applyAlignment="1">
      <alignment/>
    </xf>
    <xf numFmtId="166" fontId="2" fillId="12" borderId="0" xfId="57" applyNumberFormat="1" applyFont="1" applyFill="1" applyBorder="1" applyAlignment="1">
      <alignment/>
    </xf>
    <xf numFmtId="167" fontId="2" fillId="12" borderId="0" xfId="0" applyNumberFormat="1" applyFont="1" applyFill="1" applyBorder="1" applyAlignment="1">
      <alignment/>
    </xf>
    <xf numFmtId="170" fontId="2" fillId="12" borderId="0" xfId="57" applyNumberFormat="1" applyFont="1" applyFill="1" applyBorder="1" applyAlignment="1">
      <alignment/>
    </xf>
    <xf numFmtId="4" fontId="2" fillId="12" borderId="0" xfId="0" applyNumberFormat="1" applyFont="1" applyFill="1" applyBorder="1" applyAlignment="1">
      <alignment/>
    </xf>
    <xf numFmtId="164" fontId="13" fillId="13" borderId="12" xfId="60" applyNumberFormat="1" applyFont="1" applyFill="1" applyBorder="1" applyAlignment="1">
      <alignment horizontal="center" vertical="center" wrapText="1"/>
    </xf>
    <xf numFmtId="167" fontId="25" fillId="4" borderId="12" xfId="0" applyNumberFormat="1" applyFont="1" applyFill="1" applyBorder="1" applyAlignment="1">
      <alignment horizontal="center" vertical="center" wrapText="1"/>
    </xf>
    <xf numFmtId="164" fontId="13" fillId="4" borderId="12" xfId="60" applyNumberFormat="1" applyFont="1" applyFill="1" applyBorder="1" applyAlignment="1">
      <alignment horizontal="center" vertical="center" wrapText="1"/>
    </xf>
    <xf numFmtId="164" fontId="14" fillId="4" borderId="12" xfId="60" applyNumberFormat="1" applyFont="1" applyFill="1" applyBorder="1" applyAlignment="1">
      <alignment horizontal="center" vertical="center" wrapText="1"/>
    </xf>
    <xf numFmtId="167" fontId="24" fillId="13" borderId="12" xfId="0" applyNumberFormat="1" applyFont="1" applyFill="1" applyBorder="1" applyAlignment="1">
      <alignment horizontal="center" vertical="center" wrapText="1"/>
    </xf>
    <xf numFmtId="178" fontId="14" fillId="13" borderId="12" xfId="60" applyNumberFormat="1" applyFont="1" applyFill="1" applyBorder="1" applyAlignment="1">
      <alignment horizontal="center" vertical="center" wrapText="1"/>
    </xf>
    <xf numFmtId="4" fontId="6" fillId="34" borderId="12" xfId="6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6" fontId="69" fillId="33" borderId="15" xfId="0" applyNumberFormat="1" applyFont="1" applyFill="1" applyBorder="1" applyAlignment="1">
      <alignment horizontal="right"/>
    </xf>
    <xf numFmtId="166" fontId="70" fillId="33" borderId="12" xfId="0" applyNumberFormat="1" applyFont="1" applyFill="1" applyBorder="1" applyAlignment="1">
      <alignment horizontal="right"/>
    </xf>
    <xf numFmtId="166" fontId="17" fillId="33" borderId="19" xfId="0" applyNumberFormat="1" applyFont="1" applyFill="1" applyBorder="1" applyAlignment="1">
      <alignment horizontal="left" wrapText="1"/>
    </xf>
    <xf numFmtId="177" fontId="17" fillId="33" borderId="12" xfId="0" applyNumberFormat="1" applyFont="1" applyFill="1" applyBorder="1" applyAlignment="1">
      <alignment/>
    </xf>
    <xf numFmtId="177" fontId="18" fillId="34" borderId="12" xfId="60" applyNumberFormat="1" applyFont="1" applyFill="1" applyBorder="1" applyAlignment="1">
      <alignment vertical="center" wrapText="1"/>
    </xf>
    <xf numFmtId="2" fontId="18" fillId="34" borderId="12" xfId="0" applyNumberFormat="1" applyFont="1" applyFill="1" applyBorder="1" applyAlignment="1">
      <alignment/>
    </xf>
    <xf numFmtId="194" fontId="17" fillId="33" borderId="12" xfId="0" applyNumberFormat="1" applyFont="1" applyFill="1" applyBorder="1" applyAlignment="1">
      <alignment/>
    </xf>
    <xf numFmtId="10" fontId="17" fillId="33" borderId="12" xfId="0" applyNumberFormat="1" applyFont="1" applyFill="1" applyBorder="1" applyAlignment="1">
      <alignment horizontal="center"/>
    </xf>
    <xf numFmtId="179" fontId="71" fillId="33" borderId="0" xfId="60" applyNumberFormat="1" applyFont="1" applyFill="1" applyAlignment="1">
      <alignment horizontal="center"/>
    </xf>
    <xf numFmtId="179" fontId="71" fillId="33" borderId="0" xfId="60" applyNumberFormat="1" applyFont="1" applyFill="1" applyAlignment="1">
      <alignment/>
    </xf>
    <xf numFmtId="178" fontId="72" fillId="33" borderId="0" xfId="60" applyNumberFormat="1" applyFont="1" applyFill="1" applyBorder="1" applyAlignment="1">
      <alignment/>
    </xf>
    <xf numFmtId="43" fontId="10" fillId="33" borderId="12" xfId="60" applyFont="1" applyFill="1" applyBorder="1" applyAlignment="1">
      <alignment horizontal="center" wrapText="1"/>
    </xf>
    <xf numFmtId="43" fontId="10" fillId="33" borderId="12" xfId="60" applyFont="1" applyFill="1" applyBorder="1" applyAlignment="1">
      <alignment horizontal="center"/>
    </xf>
    <xf numFmtId="43" fontId="10" fillId="33" borderId="12" xfId="6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3" fontId="10" fillId="33" borderId="12" xfId="60" applyFont="1" applyFill="1" applyBorder="1" applyAlignment="1">
      <alignment horizontal="center" wrapText="1"/>
    </xf>
    <xf numFmtId="43" fontId="10" fillId="33" borderId="12" xfId="60" applyFont="1" applyFill="1" applyBorder="1" applyAlignment="1">
      <alignment wrapText="1"/>
    </xf>
    <xf numFmtId="43" fontId="10" fillId="33" borderId="12" xfId="60" applyFont="1" applyFill="1" applyBorder="1" applyAlignment="1">
      <alignment/>
    </xf>
    <xf numFmtId="4" fontId="15" fillId="33" borderId="12" xfId="0" applyNumberFormat="1" applyFont="1" applyFill="1" applyBorder="1" applyAlignment="1">
      <alignment horizontal="center"/>
    </xf>
    <xf numFmtId="178" fontId="17" fillId="33" borderId="12" xfId="60" applyNumberFormat="1" applyFont="1" applyFill="1" applyBorder="1" applyAlignment="1">
      <alignment/>
    </xf>
    <xf numFmtId="164" fontId="6" fillId="36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33" xfId="53" applyFont="1" applyFill="1" applyBorder="1" applyAlignment="1">
      <alignment horizontal="center" vertical="center" wrapText="1"/>
      <protection/>
    </xf>
    <xf numFmtId="0" fontId="2" fillId="33" borderId="29" xfId="53" applyFont="1" applyFill="1" applyBorder="1" applyAlignment="1">
      <alignment horizontal="center" vertical="center" wrapText="1"/>
      <protection/>
    </xf>
    <xf numFmtId="0" fontId="2" fillId="13" borderId="13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35" xfId="60" applyNumberFormat="1" applyFont="1" applyFill="1" applyBorder="1" applyAlignment="1">
      <alignment horizontal="center" vertical="center" wrapText="1"/>
    </xf>
    <xf numFmtId="176" fontId="4" fillId="33" borderId="22" xfId="60" applyNumberFormat="1" applyFont="1" applyFill="1" applyBorder="1" applyAlignment="1">
      <alignment horizontal="center" vertical="center" wrapText="1"/>
    </xf>
    <xf numFmtId="176" fontId="4" fillId="33" borderId="28" xfId="6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 readingOrder="1"/>
    </xf>
    <xf numFmtId="0" fontId="18" fillId="33" borderId="28" xfId="0" applyFont="1" applyFill="1" applyBorder="1" applyAlignment="1">
      <alignment horizontal="justify" vertical="center" wrapText="1" readingOrder="1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178" fontId="0" fillId="33" borderId="0" xfId="60" applyNumberFormat="1" applyFont="1" applyFill="1" applyBorder="1" applyAlignment="1">
      <alignment/>
    </xf>
    <xf numFmtId="178" fontId="3" fillId="33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 wrapText="1"/>
    </xf>
    <xf numFmtId="164" fontId="6" fillId="40" borderId="0" xfId="0" applyNumberFormat="1" applyFont="1" applyFill="1" applyBorder="1" applyAlignment="1">
      <alignment horizontal="center"/>
    </xf>
    <xf numFmtId="200" fontId="0" fillId="33" borderId="0" xfId="0" applyNumberFormat="1" applyFill="1" applyBorder="1" applyAlignment="1">
      <alignment/>
    </xf>
    <xf numFmtId="0" fontId="4" fillId="13" borderId="13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Data20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счеты МБО ХМАО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="75" zoomScaleNormal="75" zoomScalePageLayoutView="0" workbookViewId="0" topLeftCell="A1">
      <selection activeCell="U9" sqref="U9:U11"/>
    </sheetView>
  </sheetViews>
  <sheetFormatPr defaultColWidth="11.875" defaultRowHeight="12.75"/>
  <cols>
    <col min="1" max="1" width="21.75390625" style="1" customWidth="1"/>
    <col min="2" max="2" width="16.25390625" style="1" customWidth="1"/>
    <col min="3" max="4" width="18.25390625" style="1" hidden="1" customWidth="1"/>
    <col min="5" max="5" width="17.125" style="1" hidden="1" customWidth="1"/>
    <col min="6" max="6" width="15.75390625" style="1" hidden="1" customWidth="1"/>
    <col min="7" max="7" width="20.875" style="1" hidden="1" customWidth="1"/>
    <col min="8" max="8" width="18.125" style="1" customWidth="1"/>
    <col min="9" max="9" width="18.375" style="1" hidden="1" customWidth="1"/>
    <col min="10" max="10" width="17.875" style="1" customWidth="1"/>
    <col min="11" max="11" width="15.75390625" style="1" customWidth="1"/>
    <col min="12" max="12" width="15.125" style="1" hidden="1" customWidth="1"/>
    <col min="13" max="13" width="0.37109375" style="1" customWidth="1"/>
    <col min="14" max="14" width="17.25390625" style="1" hidden="1" customWidth="1"/>
    <col min="15" max="16" width="20.00390625" style="1" customWidth="1"/>
    <col min="17" max="17" width="20.25390625" style="1" customWidth="1"/>
    <col min="18" max="18" width="19.75390625" style="1" customWidth="1"/>
    <col min="19" max="19" width="19.125" style="1" customWidth="1"/>
    <col min="20" max="20" width="19.125" style="1" hidden="1" customWidth="1"/>
    <col min="21" max="21" width="19.00390625" style="1" customWidth="1"/>
    <col min="22" max="22" width="21.75390625" style="3" customWidth="1"/>
    <col min="23" max="23" width="16.875" style="3" hidden="1" customWidth="1"/>
    <col min="24" max="24" width="21.375" style="3" customWidth="1"/>
    <col min="25" max="25" width="23.125" style="3" customWidth="1"/>
    <col min="26" max="26" width="14.25390625" style="3" customWidth="1"/>
    <col min="27" max="27" width="0.6171875" style="1" customWidth="1"/>
    <col min="28" max="28" width="16.25390625" style="1" hidden="1" customWidth="1"/>
    <col min="29" max="29" width="21.375" style="1" customWidth="1"/>
    <col min="30" max="16384" width="11.875" style="1" customWidth="1"/>
  </cols>
  <sheetData>
    <row r="1" spans="2:11" ht="12.75">
      <c r="B1" s="50"/>
      <c r="K1" s="2"/>
    </row>
    <row r="2" ht="12.75">
      <c r="K2" s="2"/>
    </row>
    <row r="3" spans="1:30" ht="12.75">
      <c r="A3" s="86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29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7"/>
      <c r="X4" s="87"/>
      <c r="Y4" s="87"/>
      <c r="Z4" s="87"/>
      <c r="AA4" s="86"/>
      <c r="AB4" s="86"/>
      <c r="AC4" s="86"/>
    </row>
    <row r="5" ht="12.75"/>
    <row r="6" ht="12.75"/>
    <row r="7" spans="1:29" ht="15.75">
      <c r="A7" s="9"/>
      <c r="B7" s="302" t="s">
        <v>72</v>
      </c>
      <c r="C7" s="303"/>
      <c r="D7" s="303"/>
      <c r="E7" s="303"/>
      <c r="F7" s="303"/>
      <c r="G7" s="304"/>
      <c r="H7" s="303"/>
      <c r="I7" s="305"/>
      <c r="J7" s="306"/>
      <c r="K7" s="303"/>
      <c r="L7" s="307"/>
      <c r="M7" s="304"/>
      <c r="N7" s="304"/>
      <c r="O7" s="308"/>
      <c r="P7" s="16"/>
      <c r="Q7" s="16"/>
      <c r="R7" s="11"/>
      <c r="S7" s="15"/>
      <c r="T7" s="11"/>
      <c r="U7" s="17"/>
      <c r="V7" s="18"/>
      <c r="W7" s="18"/>
      <c r="X7" s="18"/>
      <c r="Y7" s="18"/>
      <c r="Z7" s="18"/>
      <c r="AA7" s="13"/>
      <c r="AB7" s="13"/>
      <c r="AC7" s="13"/>
    </row>
    <row r="8" spans="1:29" ht="12.75">
      <c r="A8" s="9"/>
      <c r="B8" s="10"/>
      <c r="C8" s="10"/>
      <c r="D8" s="10"/>
      <c r="E8" s="10"/>
      <c r="F8" s="10"/>
      <c r="G8" s="11"/>
      <c r="H8" s="10"/>
      <c r="I8" s="12"/>
      <c r="J8" s="13"/>
      <c r="K8" s="10"/>
      <c r="L8" s="14"/>
      <c r="M8" s="11"/>
      <c r="N8" s="11"/>
      <c r="O8" s="16"/>
      <c r="P8" s="16"/>
      <c r="Q8" s="16"/>
      <c r="R8" s="11"/>
      <c r="S8" s="131">
        <v>0.25</v>
      </c>
      <c r="T8" s="11"/>
      <c r="U8" s="17"/>
      <c r="V8" s="18"/>
      <c r="W8" s="18"/>
      <c r="X8" s="18"/>
      <c r="Y8" s="18"/>
      <c r="Z8" s="18"/>
      <c r="AA8" s="13"/>
      <c r="AB8" s="13"/>
      <c r="AC8" s="13"/>
    </row>
    <row r="9" spans="1:29" ht="15.75" customHeight="1">
      <c r="A9" s="339" t="s">
        <v>0</v>
      </c>
      <c r="B9" s="339" t="s">
        <v>1</v>
      </c>
      <c r="C9" s="339"/>
      <c r="D9" s="339"/>
      <c r="E9" s="339"/>
      <c r="F9" s="339"/>
      <c r="G9" s="339"/>
      <c r="H9" s="339" t="s">
        <v>80</v>
      </c>
      <c r="I9" s="339" t="s">
        <v>48</v>
      </c>
      <c r="J9" s="339" t="s">
        <v>2</v>
      </c>
      <c r="K9" s="339" t="s">
        <v>13</v>
      </c>
      <c r="L9" s="339" t="s">
        <v>10</v>
      </c>
      <c r="M9" s="339"/>
      <c r="N9" s="339"/>
      <c r="O9" s="339" t="s">
        <v>61</v>
      </c>
      <c r="P9" s="339" t="s">
        <v>60</v>
      </c>
      <c r="Q9" s="339" t="s">
        <v>62</v>
      </c>
      <c r="R9" s="339" t="s">
        <v>47</v>
      </c>
      <c r="S9" s="339" t="s">
        <v>52</v>
      </c>
      <c r="T9" s="339"/>
      <c r="U9" s="339" t="s">
        <v>59</v>
      </c>
      <c r="V9" s="339" t="s">
        <v>53</v>
      </c>
      <c r="W9" s="339"/>
      <c r="X9" s="339" t="s">
        <v>56</v>
      </c>
      <c r="Y9" s="339" t="s">
        <v>55</v>
      </c>
      <c r="Z9" s="339" t="s">
        <v>57</v>
      </c>
      <c r="AA9" s="344"/>
      <c r="AB9" s="347"/>
      <c r="AC9" s="393" t="s">
        <v>58</v>
      </c>
    </row>
    <row r="10" spans="1:29" ht="15.7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2"/>
      <c r="P10" s="342"/>
      <c r="Q10" s="342"/>
      <c r="R10" s="340"/>
      <c r="S10" s="340"/>
      <c r="T10" s="340"/>
      <c r="U10" s="340"/>
      <c r="V10" s="340"/>
      <c r="W10" s="340"/>
      <c r="X10" s="340"/>
      <c r="Y10" s="340"/>
      <c r="Z10" s="340"/>
      <c r="AA10" s="345"/>
      <c r="AB10" s="348"/>
      <c r="AC10" s="394"/>
    </row>
    <row r="11" spans="1:29" ht="149.2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3"/>
      <c r="P11" s="343"/>
      <c r="Q11" s="343"/>
      <c r="R11" s="341"/>
      <c r="S11" s="341"/>
      <c r="T11" s="341"/>
      <c r="U11" s="341"/>
      <c r="V11" s="341"/>
      <c r="W11" s="341"/>
      <c r="X11" s="341"/>
      <c r="Y11" s="341"/>
      <c r="Z11" s="341"/>
      <c r="AA11" s="346"/>
      <c r="AB11" s="349"/>
      <c r="AC11" s="395"/>
    </row>
    <row r="12" spans="1:29" ht="18.75">
      <c r="A12" s="189" t="s">
        <v>22</v>
      </c>
      <c r="B12" s="253">
        <v>7581</v>
      </c>
      <c r="C12" s="190"/>
      <c r="D12" s="190"/>
      <c r="E12" s="190"/>
      <c r="F12" s="190"/>
      <c r="G12" s="190"/>
      <c r="H12" s="191">
        <v>531</v>
      </c>
      <c r="I12" s="192">
        <f aca="true" t="shared" si="0" ref="I12:I18">H12/B12</f>
        <v>0.07004352987732489</v>
      </c>
      <c r="J12" s="193">
        <f>(1+H12/B12)/(1+H18/B18)</f>
        <v>0.9920541592425758</v>
      </c>
      <c r="K12" s="191">
        <v>531</v>
      </c>
      <c r="L12" s="194">
        <f aca="true" t="shared" si="1" ref="L12:L18">K12/B12</f>
        <v>0.07004352987732489</v>
      </c>
      <c r="M12" s="195"/>
      <c r="N12" s="195"/>
      <c r="O12" s="195">
        <f>65.73+111.22</f>
        <v>176.95</v>
      </c>
      <c r="P12" s="329">
        <v>2402.76</v>
      </c>
      <c r="Q12" s="195">
        <v>6356.59</v>
      </c>
      <c r="R12" s="196">
        <f>0.2*O12*B18/SUM(O12*B12)+0.65*P12*B18/SUM(P12*B12)+0.15*Q12*B18/SUM(Q12*B12)</f>
        <v>3.030339005408257</v>
      </c>
      <c r="S12" s="193">
        <f>(1+S8*K12/B12)/(1+S8*K18/B18)</f>
        <v>0.9318614085577925</v>
      </c>
      <c r="T12" s="298"/>
      <c r="U12" s="196">
        <f aca="true" t="shared" si="2" ref="U12:U17">1+0.2*AVERAGE($B$12:$B$17)/B12</f>
        <v>1.1010113001802753</v>
      </c>
      <c r="V12" s="299">
        <f>'Параметры модели'!C40*S12+'Параметры модели'!C41*R12+1-'Параметры модели'!C40-'Параметры модели'!C41</f>
        <v>1.0534913328089006</v>
      </c>
      <c r="W12" s="198"/>
      <c r="X12" s="199">
        <f>(Z12/B12)/(Z18/B18)</f>
        <v>1.0408128068147573</v>
      </c>
      <c r="Y12" s="199">
        <f>'Параметры модели'!E34*U12+'Параметры модели'!E33*X12+'Параметры модели'!E35*J12</f>
        <v>1.0241633285298153</v>
      </c>
      <c r="Z12" s="198">
        <v>232.8</v>
      </c>
      <c r="AA12" s="104"/>
      <c r="AB12" s="105"/>
      <c r="AC12" s="300">
        <f>V12*Y12*B18/SUMPRODUCT(V12:V17,Y12:Y17,B12:B17)</f>
        <v>0.8399242510660626</v>
      </c>
    </row>
    <row r="13" spans="1:29" ht="18.75">
      <c r="A13" s="189" t="s">
        <v>23</v>
      </c>
      <c r="B13" s="253">
        <v>7902</v>
      </c>
      <c r="C13" s="190"/>
      <c r="D13" s="190"/>
      <c r="E13" s="190"/>
      <c r="F13" s="190"/>
      <c r="G13" s="190"/>
      <c r="H13" s="191">
        <v>425</v>
      </c>
      <c r="I13" s="192">
        <f t="shared" si="0"/>
        <v>0.05378385218931916</v>
      </c>
      <c r="J13" s="193">
        <f>(1+H13/B13)/(1+H18/B18)</f>
        <v>0.9769795567353496</v>
      </c>
      <c r="K13" s="191">
        <v>425</v>
      </c>
      <c r="L13" s="194">
        <f t="shared" si="1"/>
        <v>0.05378385218931916</v>
      </c>
      <c r="M13" s="191"/>
      <c r="N13" s="191"/>
      <c r="O13" s="195">
        <f>57.35+58.65</f>
        <v>116</v>
      </c>
      <c r="P13" s="330">
        <v>2069.96</v>
      </c>
      <c r="Q13" s="195">
        <v>6356.59</v>
      </c>
      <c r="R13" s="196">
        <f>0.2*O13*B18/SUM(O13*B13)+0.65*P13*B18/SUM(P13*B13)+0.15*Q13*B18/SUM(Q13*B13)</f>
        <v>2.9072386737534806</v>
      </c>
      <c r="S13" s="193">
        <f>(1+S8*K13/B13)/(1+S8*K18/B18)</f>
        <v>0.928138655707162</v>
      </c>
      <c r="T13" s="298"/>
      <c r="U13" s="196">
        <f t="shared" si="2"/>
        <v>1.0969079557917827</v>
      </c>
      <c r="V13" s="299">
        <f>'Параметры модели'!C40*S13+'Параметры модели'!C41*R13+1-'Параметры модели'!C40-'Параметры модели'!C41</f>
        <v>1.0470997027715416</v>
      </c>
      <c r="W13" s="198"/>
      <c r="X13" s="199">
        <f>(Z13/B13)/(Z18/B18)</f>
        <v>1.1507998468103553</v>
      </c>
      <c r="Y13" s="199">
        <f>'Параметры модели'!E34*U13+'Параметры модели'!E33*X13+'Параметры модели'!E35*J13</f>
        <v>1.0127052356103308</v>
      </c>
      <c r="Z13" s="198">
        <v>268.3</v>
      </c>
      <c r="AA13" s="104"/>
      <c r="AB13" s="105"/>
      <c r="AC13" s="300">
        <f>V13*Y13*B18/SUMPRODUCT(V12:V17,Y12:Y17,B12:B17)</f>
        <v>0.8254884936469937</v>
      </c>
    </row>
    <row r="14" spans="1:29" ht="18.75">
      <c r="A14" s="189" t="s">
        <v>24</v>
      </c>
      <c r="B14" s="253">
        <v>3567</v>
      </c>
      <c r="C14" s="190"/>
      <c r="D14" s="190"/>
      <c r="E14" s="190"/>
      <c r="F14" s="190"/>
      <c r="G14" s="190"/>
      <c r="H14" s="254">
        <v>414</v>
      </c>
      <c r="I14" s="192">
        <f t="shared" si="0"/>
        <v>0.11606391925988226</v>
      </c>
      <c r="J14" s="193">
        <f>(1+H14/B14)/(1+H18/B18)</f>
        <v>1.034720384888707</v>
      </c>
      <c r="K14" s="254">
        <v>3567</v>
      </c>
      <c r="L14" s="194">
        <f t="shared" si="1"/>
        <v>1</v>
      </c>
      <c r="M14" s="191"/>
      <c r="N14" s="191"/>
      <c r="O14" s="195">
        <v>188.99</v>
      </c>
      <c r="P14" s="330">
        <v>4205.23</v>
      </c>
      <c r="Q14" s="195">
        <v>6356.59</v>
      </c>
      <c r="R14" s="196">
        <f>0.2*O14*B18/SUM(O14*B14)+0.65*P14*B18/SUM(P14*B14)+0.15*Q14*B18/SUM(Q14*B14)</f>
        <v>6.440426128399215</v>
      </c>
      <c r="S14" s="193">
        <f>(1+S8*K14/B14)/(1+S8*K18/B18)</f>
        <v>1.14478064143196</v>
      </c>
      <c r="T14" s="298"/>
      <c r="U14" s="196">
        <f t="shared" si="2"/>
        <v>1.2146808709466406</v>
      </c>
      <c r="V14" s="299">
        <f>'Параметры модели'!C40*S14+'Параметры модели'!C41*R14+1-'Параметры модели'!C40-'Параметры модели'!C41</f>
        <v>1.2745626585558174</v>
      </c>
      <c r="W14" s="198"/>
      <c r="X14" s="199">
        <f>(Z14/B14)/(Z18/B18)</f>
        <v>0.7601565214988747</v>
      </c>
      <c r="Y14" s="199">
        <f>'Параметры модели'!E34*U14+'Параметры модели'!E33*X14+'Параметры модели'!E35*J14</f>
        <v>1.086621021363162</v>
      </c>
      <c r="Z14" s="198">
        <v>80</v>
      </c>
      <c r="AA14" s="104"/>
      <c r="AB14" s="105"/>
      <c r="AC14" s="300">
        <f>V14*Y14*B18/SUMPRODUCT(V12:V17,Y12:Y17,B12:B17)</f>
        <v>1.0781500952336762</v>
      </c>
    </row>
    <row r="15" spans="1:29" ht="18.75">
      <c r="A15" s="189" t="s">
        <v>25</v>
      </c>
      <c r="B15" s="253">
        <v>1267</v>
      </c>
      <c r="C15" s="190"/>
      <c r="D15" s="190"/>
      <c r="E15" s="190"/>
      <c r="F15" s="190"/>
      <c r="G15" s="190"/>
      <c r="H15" s="254"/>
      <c r="I15" s="192">
        <f t="shared" si="0"/>
        <v>0</v>
      </c>
      <c r="J15" s="193">
        <f>(1+H15/B15)/(1+H18/B18)</f>
        <v>0.9271157028128656</v>
      </c>
      <c r="K15" s="254">
        <v>1267</v>
      </c>
      <c r="L15" s="194">
        <f t="shared" si="1"/>
        <v>1</v>
      </c>
      <c r="M15" s="191"/>
      <c r="N15" s="191"/>
      <c r="O15" s="195">
        <f>50.68+57.49</f>
        <v>108.17</v>
      </c>
      <c r="P15" s="330">
        <v>1215.55</v>
      </c>
      <c r="Q15" s="195">
        <v>6356.59</v>
      </c>
      <c r="R15" s="196">
        <f>0.2*O15*B18/SUM(O15*B15)+0.65*P15*B18/SUM(P15*B15)+0.15*Q15*B18/SUM(Q15*B15)</f>
        <v>18.131807419100237</v>
      </c>
      <c r="S15" s="193">
        <f>(1+S8*K15/B15)/(1+S8*K18/B18)</f>
        <v>1.14478064143196</v>
      </c>
      <c r="T15" s="298"/>
      <c r="U15" s="196">
        <f t="shared" si="2"/>
        <v>1.6043935806366747</v>
      </c>
      <c r="V15" s="299">
        <f>'Параметры модели'!C40*S15+'Параметры модели'!C41*R15+1-'Параметры модели'!C40-'Параметры модели'!C41</f>
        <v>1.7398705463965713</v>
      </c>
      <c r="W15" s="198"/>
      <c r="X15" s="199">
        <f>(Z15/B15)/(Z18/B18)</f>
        <v>1.024562148349866</v>
      </c>
      <c r="Y15" s="199">
        <f>'Параметры модели'!E34*U15+'Параметры модели'!E33*X15+'Параметры модели'!E35*J15</f>
        <v>1.1260503233784407</v>
      </c>
      <c r="Z15" s="198">
        <v>38.3</v>
      </c>
      <c r="AA15" s="104"/>
      <c r="AB15" s="105"/>
      <c r="AC15" s="300">
        <f>V15*Y15*B18/SUMPRODUCT(V12:V17,Y12:Y17,B12:B17)</f>
        <v>1.5251574072586216</v>
      </c>
    </row>
    <row r="16" spans="1:29" ht="18.75">
      <c r="A16" s="189" t="s">
        <v>26</v>
      </c>
      <c r="B16" s="253">
        <v>1590</v>
      </c>
      <c r="C16" s="190"/>
      <c r="D16" s="190"/>
      <c r="E16" s="190"/>
      <c r="F16" s="190"/>
      <c r="G16" s="190"/>
      <c r="H16" s="254">
        <v>436</v>
      </c>
      <c r="I16" s="192">
        <f t="shared" si="0"/>
        <v>0.2742138364779874</v>
      </c>
      <c r="J16" s="193">
        <f>(1+H16/B16)/(1+H18/B18)</f>
        <v>1.1813436565401672</v>
      </c>
      <c r="K16" s="254">
        <v>1590</v>
      </c>
      <c r="L16" s="194">
        <f t="shared" si="1"/>
        <v>1</v>
      </c>
      <c r="M16" s="191"/>
      <c r="N16" s="191"/>
      <c r="O16" s="195">
        <f>51.94+61.54</f>
        <v>113.47999999999999</v>
      </c>
      <c r="P16" s="330">
        <v>2370.45</v>
      </c>
      <c r="Q16" s="191">
        <v>5580.46</v>
      </c>
      <c r="R16" s="196">
        <f>0.2*O16*B18/SUM(O16*B16)+0.65*P16*B18/SUM(P16*B16)+0.15*Q16*B18/SUM(Q16*B16)</f>
        <v>14.448427672955974</v>
      </c>
      <c r="S16" s="193">
        <f>(1+S8*K16/B16)/(1+S8*K18/B18)</f>
        <v>1.14478064143196</v>
      </c>
      <c r="T16" s="298"/>
      <c r="U16" s="196">
        <f t="shared" si="2"/>
        <v>1.4816142557651992</v>
      </c>
      <c r="V16" s="299">
        <f>'Параметры модели'!C40*S16+'Параметры модели'!C41*R16+1-'Параметры модели'!C40-'Параметры модели'!C41</f>
        <v>1.593274895533915</v>
      </c>
      <c r="W16" s="198"/>
      <c r="X16" s="199">
        <f>(Z16/B16)/(Z18/B18)</f>
        <v>0.6181829485330824</v>
      </c>
      <c r="Y16" s="199">
        <f>'Параметры модели'!E34*U16+'Параметры модели'!E33*X16+'Параметры модели'!E35*J16</f>
        <v>1.2676066309545182</v>
      </c>
      <c r="Z16" s="198">
        <v>29</v>
      </c>
      <c r="AA16" s="104"/>
      <c r="AB16" s="105"/>
      <c r="AC16" s="300">
        <f>V16*Y16*B18/SUMPRODUCT(V12:V17,Y12:Y17,B12:B17)</f>
        <v>1.5722266303996415</v>
      </c>
    </row>
    <row r="17" spans="1:29" ht="18.75">
      <c r="A17" s="189" t="s">
        <v>27</v>
      </c>
      <c r="B17" s="253">
        <v>1066</v>
      </c>
      <c r="C17" s="190"/>
      <c r="D17" s="190"/>
      <c r="E17" s="190"/>
      <c r="F17" s="190"/>
      <c r="G17" s="190"/>
      <c r="H17" s="255"/>
      <c r="I17" s="192">
        <f t="shared" si="0"/>
        <v>0</v>
      </c>
      <c r="J17" s="193">
        <f>(1+H17/B17)/(1+H18/B18)</f>
        <v>0.9271157028128656</v>
      </c>
      <c r="K17" s="254">
        <v>1066</v>
      </c>
      <c r="L17" s="194">
        <f t="shared" si="1"/>
        <v>1</v>
      </c>
      <c r="M17" s="191"/>
      <c r="N17" s="191"/>
      <c r="O17" s="195">
        <f>53.24+59.89</f>
        <v>113.13</v>
      </c>
      <c r="P17" s="330">
        <v>543.84</v>
      </c>
      <c r="Q17" s="191">
        <v>5580.46</v>
      </c>
      <c r="R17" s="196">
        <f>0.2*O17*B18/SUM(O17*B17)+0.65*P17*B18/SUM(P17*B17)+0.15*Q17*B18/SUM(Q17*B17)</f>
        <v>21.55065666041276</v>
      </c>
      <c r="S17" s="193">
        <f>(1+S8*K17/B17)/(1+S8*K18/B18)</f>
        <v>1.14478064143196</v>
      </c>
      <c r="T17" s="298"/>
      <c r="U17" s="196">
        <f t="shared" si="2"/>
        <v>1.7183552220137588</v>
      </c>
      <c r="V17" s="299">
        <f>'Параметры модели'!C40*S17+'Параметры модели'!C41*R17+1-'Параметры модели'!C40-'Параметры модели'!C41</f>
        <v>1.8759380887823789</v>
      </c>
      <c r="W17" s="198"/>
      <c r="X17" s="199">
        <f>(Z17/B17)/(Z18/B18)</f>
        <v>0.9347732455239526</v>
      </c>
      <c r="Y17" s="199">
        <f>'Параметры модели'!E34*U17+'Параметры модели'!E33*X17+'Параметры модели'!E35*J17</f>
        <v>1.1591851320016966</v>
      </c>
      <c r="Z17" s="198">
        <v>29.4</v>
      </c>
      <c r="AA17" s="104"/>
      <c r="AB17" s="105"/>
      <c r="AC17" s="300">
        <f>V17*Y17*B18/SUMPRODUCT(V12:V17,Y12:Y17,B12:B17)</f>
        <v>1.6928217718940044</v>
      </c>
    </row>
    <row r="18" spans="1:29" ht="15.75">
      <c r="A18" s="120" t="s">
        <v>28</v>
      </c>
      <c r="B18" s="121">
        <f>SUM(B12:B17)</f>
        <v>22973</v>
      </c>
      <c r="C18" s="122"/>
      <c r="D18" s="122"/>
      <c r="E18" s="122"/>
      <c r="F18" s="122"/>
      <c r="G18" s="122"/>
      <c r="H18" s="121">
        <f>SUM(H12:H17)</f>
        <v>1806</v>
      </c>
      <c r="I18" s="123">
        <f t="shared" si="0"/>
        <v>0.0786140251599704</v>
      </c>
      <c r="J18" s="122"/>
      <c r="K18" s="121">
        <f>SUM(K12:K17)</f>
        <v>8446</v>
      </c>
      <c r="L18" s="124">
        <f t="shared" si="1"/>
        <v>0.36764897923649503</v>
      </c>
      <c r="M18" s="122"/>
      <c r="N18" s="122"/>
      <c r="O18" s="125">
        <f>SUM(O12:O17)/6</f>
        <v>136.12</v>
      </c>
      <c r="P18" s="125">
        <f>SUM(P12:P17)/6</f>
        <v>2134.6316666666667</v>
      </c>
      <c r="Q18" s="125">
        <f>SUM(Q12:Q17)/6</f>
        <v>6097.88</v>
      </c>
      <c r="R18" s="126">
        <f>(0.2*O18/O$18+0.65*P18/P$18+0.15*Q18/Q$18)</f>
        <v>1</v>
      </c>
      <c r="S18" s="122"/>
      <c r="T18" s="126"/>
      <c r="U18" s="126"/>
      <c r="V18" s="130"/>
      <c r="W18" s="122"/>
      <c r="X18" s="122"/>
      <c r="Y18" s="122"/>
      <c r="Z18" s="122">
        <f>SUM(Z12:Z17)</f>
        <v>677.8</v>
      </c>
      <c r="AA18" s="106"/>
      <c r="AB18" s="107"/>
      <c r="AC18" s="300"/>
    </row>
    <row r="19" spans="2:29" ht="12.75">
      <c r="B19" s="12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63"/>
      <c r="X19" s="63"/>
      <c r="Y19" s="63"/>
      <c r="Z19" s="63"/>
      <c r="AA19" s="62"/>
      <c r="AB19" s="62"/>
      <c r="AC19" s="62"/>
    </row>
    <row r="20" spans="2:29" ht="12.75" hidden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63"/>
      <c r="X20" s="63"/>
      <c r="Y20" s="63"/>
      <c r="Z20" s="63"/>
      <c r="AA20" s="62"/>
      <c r="AB20" s="62"/>
      <c r="AC20" s="62"/>
    </row>
    <row r="21" spans="2:29" ht="12.75" hidden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63"/>
      <c r="X21" s="63"/>
      <c r="Y21" s="63"/>
      <c r="Z21" s="63"/>
      <c r="AA21" s="62"/>
      <c r="AB21" s="62"/>
      <c r="AC21" s="62"/>
    </row>
    <row r="22" spans="2:29" ht="12.75" hidden="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244"/>
      <c r="S22" s="62"/>
      <c r="T22" s="62"/>
      <c r="U22" s="62"/>
      <c r="V22" s="63"/>
      <c r="W22" s="63"/>
      <c r="X22" s="63"/>
      <c r="Y22" s="63"/>
      <c r="Z22" s="63"/>
      <c r="AA22" s="62"/>
      <c r="AB22" s="62"/>
      <c r="AC22" s="62"/>
    </row>
    <row r="23" spans="2:29" ht="12.75" hidden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63"/>
      <c r="X23" s="63"/>
      <c r="Y23" s="63"/>
      <c r="Z23" s="63"/>
      <c r="AA23" s="62"/>
      <c r="AB23" s="62"/>
      <c r="AC23" s="62"/>
    </row>
    <row r="24" spans="2:29" ht="12.75" hidden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3"/>
      <c r="X24" s="63"/>
      <c r="Y24" s="63"/>
      <c r="Z24" s="63"/>
      <c r="AA24" s="62"/>
      <c r="AB24" s="62"/>
      <c r="AC24" s="62"/>
    </row>
    <row r="25" spans="2:29" ht="12.75" hidden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3"/>
      <c r="X25" s="63"/>
      <c r="Y25" s="63"/>
      <c r="Z25" s="63"/>
      <c r="AA25" s="62"/>
      <c r="AB25" s="62"/>
      <c r="AC25" s="62"/>
    </row>
    <row r="26" spans="2:29" ht="12.75" hidden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3"/>
      <c r="X26" s="63"/>
      <c r="Y26" s="63"/>
      <c r="Z26" s="63"/>
      <c r="AA26" s="62"/>
      <c r="AB26" s="62"/>
      <c r="AC26" s="62"/>
    </row>
    <row r="27" spans="2:29" ht="12.75" hidden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63"/>
      <c r="X27" s="63"/>
      <c r="Y27" s="63"/>
      <c r="Z27" s="63"/>
      <c r="AA27" s="62"/>
      <c r="AB27" s="62"/>
      <c r="AC27" s="62"/>
    </row>
    <row r="28" spans="2:29" ht="12.75" hidden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3"/>
      <c r="X28" s="63"/>
      <c r="Y28" s="63"/>
      <c r="Z28" s="63"/>
      <c r="AA28" s="62"/>
      <c r="AB28" s="62"/>
      <c r="AC28" s="62"/>
    </row>
    <row r="29" spans="2:29" ht="12.75" hidden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63"/>
      <c r="X29" s="63"/>
      <c r="Y29" s="63"/>
      <c r="Z29" s="63"/>
      <c r="AA29" s="62"/>
      <c r="AB29" s="62"/>
      <c r="AC29" s="62"/>
    </row>
    <row r="30" spans="2:29" ht="12.75" hidden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63"/>
      <c r="X30" s="63"/>
      <c r="Y30" s="63"/>
      <c r="Z30" s="63"/>
      <c r="AA30" s="62"/>
      <c r="AB30" s="62"/>
      <c r="AC30" s="62"/>
    </row>
    <row r="31" spans="2:29" ht="12.75" hidden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63"/>
      <c r="X31" s="63"/>
      <c r="Y31" s="63"/>
      <c r="Z31" s="63"/>
      <c r="AA31" s="62"/>
      <c r="AB31" s="62"/>
      <c r="AC31" s="62"/>
    </row>
    <row r="32" spans="2:29" ht="12.75" hidden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63"/>
      <c r="X32" s="63"/>
      <c r="Y32" s="63"/>
      <c r="Z32" s="63"/>
      <c r="AA32" s="62"/>
      <c r="AB32" s="62"/>
      <c r="AC32" s="62"/>
    </row>
    <row r="33" spans="2:29" ht="12.75" hidden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63"/>
      <c r="X33" s="63"/>
      <c r="Y33" s="63"/>
      <c r="Z33" s="63"/>
      <c r="AA33" s="62"/>
      <c r="AB33" s="62"/>
      <c r="AC33" s="62"/>
    </row>
    <row r="34" spans="2:29" ht="12.75" hidden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3"/>
      <c r="X34" s="63"/>
      <c r="Y34" s="63"/>
      <c r="Z34" s="63"/>
      <c r="AA34" s="62"/>
      <c r="AB34" s="62"/>
      <c r="AC34" s="62"/>
    </row>
    <row r="35" spans="2:29" ht="12.75" hidden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3"/>
      <c r="X35" s="63"/>
      <c r="Y35" s="63"/>
      <c r="Z35" s="63"/>
      <c r="AA35" s="62"/>
      <c r="AB35" s="62"/>
      <c r="AC35" s="62"/>
    </row>
    <row r="36" spans="2:29" ht="12.75" hidden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3"/>
      <c r="X36" s="63"/>
      <c r="Y36" s="63"/>
      <c r="Z36" s="63"/>
      <c r="AA36" s="62"/>
      <c r="AB36" s="62"/>
      <c r="AC36" s="62"/>
    </row>
    <row r="37" spans="2:29" ht="12.75" hidden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3"/>
      <c r="X37" s="63"/>
      <c r="Y37" s="63"/>
      <c r="Z37" s="63"/>
      <c r="AA37" s="62"/>
      <c r="AB37" s="62"/>
      <c r="AC37" s="62"/>
    </row>
    <row r="38" spans="2:29" ht="12.75" hidden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63"/>
      <c r="X38" s="63"/>
      <c r="Y38" s="63"/>
      <c r="Z38" s="63"/>
      <c r="AA38" s="62"/>
      <c r="AB38" s="62"/>
      <c r="AC38" s="62"/>
    </row>
    <row r="39" spans="2:29" ht="12.75" hidden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3"/>
      <c r="W39" s="63"/>
      <c r="X39" s="63"/>
      <c r="Y39" s="63"/>
      <c r="Z39" s="63"/>
      <c r="AA39" s="62"/>
      <c r="AB39" s="62"/>
      <c r="AC39" s="62"/>
    </row>
    <row r="40" spans="2:29" ht="12.75" hidden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3"/>
      <c r="W40" s="63"/>
      <c r="X40" s="63"/>
      <c r="Y40" s="63"/>
      <c r="Z40" s="63"/>
      <c r="AA40" s="62"/>
      <c r="AB40" s="62"/>
      <c r="AC40" s="62"/>
    </row>
    <row r="41" spans="2:29" ht="12.75" hidden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3"/>
      <c r="W41" s="63"/>
      <c r="X41" s="63"/>
      <c r="Y41" s="63"/>
      <c r="Z41" s="63"/>
      <c r="AA41" s="62"/>
      <c r="AB41" s="62"/>
      <c r="AC41" s="62"/>
    </row>
    <row r="42" spans="2:29" ht="12.75" hidden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3"/>
      <c r="X42" s="63"/>
      <c r="Y42" s="63"/>
      <c r="Z42" s="63"/>
      <c r="AA42" s="62"/>
      <c r="AB42" s="62"/>
      <c r="AC42" s="62"/>
    </row>
    <row r="43" ht="12.75"/>
    <row r="44" spans="1:29" ht="15.75">
      <c r="A44" s="9"/>
      <c r="B44" s="132" t="s">
        <v>73</v>
      </c>
      <c r="C44" s="133"/>
      <c r="D44" s="133"/>
      <c r="E44" s="133"/>
      <c r="F44" s="133"/>
      <c r="G44" s="134"/>
      <c r="H44" s="133"/>
      <c r="I44" s="135"/>
      <c r="J44" s="136"/>
      <c r="K44" s="133"/>
      <c r="L44" s="137"/>
      <c r="M44" s="134"/>
      <c r="N44" s="134"/>
      <c r="O44" s="138"/>
      <c r="P44" s="16"/>
      <c r="Q44" s="16"/>
      <c r="R44" s="11"/>
      <c r="S44" s="15"/>
      <c r="T44" s="11"/>
      <c r="U44" s="17"/>
      <c r="V44" s="18"/>
      <c r="W44" s="18"/>
      <c r="X44" s="18"/>
      <c r="Y44" s="18"/>
      <c r="Z44" s="18"/>
      <c r="AA44" s="13"/>
      <c r="AB44" s="13"/>
      <c r="AC44" s="13"/>
    </row>
    <row r="45" spans="1:29" ht="12.75">
      <c r="A45" s="9"/>
      <c r="B45" s="10"/>
      <c r="C45" s="10"/>
      <c r="D45" s="10"/>
      <c r="E45" s="10"/>
      <c r="F45" s="10"/>
      <c r="G45" s="11"/>
      <c r="H45" s="10"/>
      <c r="I45" s="12"/>
      <c r="J45" s="13"/>
      <c r="K45" s="10"/>
      <c r="L45" s="14"/>
      <c r="M45" s="11"/>
      <c r="N45" s="11"/>
      <c r="O45" s="16"/>
      <c r="P45" s="16"/>
      <c r="Q45" s="16"/>
      <c r="R45" s="11"/>
      <c r="S45" s="146">
        <v>0.25</v>
      </c>
      <c r="T45" s="11"/>
      <c r="U45" s="17"/>
      <c r="V45" s="18"/>
      <c r="W45" s="18"/>
      <c r="X45" s="18"/>
      <c r="Y45" s="18"/>
      <c r="Z45" s="18"/>
      <c r="AA45" s="13"/>
      <c r="AB45" s="13"/>
      <c r="AC45" s="13"/>
    </row>
    <row r="46" spans="1:29" ht="12.75" customHeight="1">
      <c r="A46" s="339" t="s">
        <v>0</v>
      </c>
      <c r="B46" s="339" t="s">
        <v>1</v>
      </c>
      <c r="C46" s="339"/>
      <c r="D46" s="339"/>
      <c r="E46" s="339"/>
      <c r="F46" s="339"/>
      <c r="G46" s="339"/>
      <c r="H46" s="339" t="s">
        <v>12</v>
      </c>
      <c r="I46" s="339" t="s">
        <v>48</v>
      </c>
      <c r="J46" s="339" t="s">
        <v>2</v>
      </c>
      <c r="K46" s="339" t="s">
        <v>13</v>
      </c>
      <c r="L46" s="339" t="s">
        <v>10</v>
      </c>
      <c r="M46" s="339"/>
      <c r="N46" s="339"/>
      <c r="O46" s="339" t="s">
        <v>61</v>
      </c>
      <c r="P46" s="339" t="s">
        <v>60</v>
      </c>
      <c r="Q46" s="339" t="s">
        <v>62</v>
      </c>
      <c r="R46" s="339" t="s">
        <v>47</v>
      </c>
      <c r="S46" s="339" t="s">
        <v>52</v>
      </c>
      <c r="T46" s="339"/>
      <c r="U46" s="339" t="s">
        <v>59</v>
      </c>
      <c r="V46" s="339" t="s">
        <v>53</v>
      </c>
      <c r="W46" s="339"/>
      <c r="X46" s="339" t="s">
        <v>56</v>
      </c>
      <c r="Y46" s="339" t="s">
        <v>55</v>
      </c>
      <c r="Z46" s="339" t="s">
        <v>57</v>
      </c>
      <c r="AA46" s="344"/>
      <c r="AB46" s="347"/>
      <c r="AC46" s="350" t="s">
        <v>58</v>
      </c>
    </row>
    <row r="47" spans="1:29" ht="12.75" customHeight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2"/>
      <c r="P47" s="342"/>
      <c r="Q47" s="342"/>
      <c r="R47" s="340"/>
      <c r="S47" s="340"/>
      <c r="T47" s="340"/>
      <c r="U47" s="340"/>
      <c r="V47" s="340"/>
      <c r="W47" s="340"/>
      <c r="X47" s="340"/>
      <c r="Y47" s="340"/>
      <c r="Z47" s="340"/>
      <c r="AA47" s="345"/>
      <c r="AB47" s="348"/>
      <c r="AC47" s="351"/>
    </row>
    <row r="48" spans="1:29" ht="144" customHeight="1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3"/>
      <c r="P48" s="343"/>
      <c r="Q48" s="343"/>
      <c r="R48" s="341"/>
      <c r="S48" s="341"/>
      <c r="T48" s="341"/>
      <c r="U48" s="341"/>
      <c r="V48" s="341"/>
      <c r="W48" s="341"/>
      <c r="X48" s="341"/>
      <c r="Y48" s="341"/>
      <c r="Z48" s="341"/>
      <c r="AA48" s="346"/>
      <c r="AB48" s="349"/>
      <c r="AC48" s="352"/>
    </row>
    <row r="49" spans="1:29" ht="18.75">
      <c r="A49" s="189" t="s">
        <v>22</v>
      </c>
      <c r="B49" s="253">
        <v>7581</v>
      </c>
      <c r="C49" s="190"/>
      <c r="D49" s="190"/>
      <c r="E49" s="190"/>
      <c r="F49" s="190"/>
      <c r="G49" s="190"/>
      <c r="H49" s="191">
        <v>531</v>
      </c>
      <c r="I49" s="192">
        <f aca="true" t="shared" si="3" ref="I49:I54">H49/B49</f>
        <v>0.07004352987732489</v>
      </c>
      <c r="J49" s="193">
        <f>(1+H49/B49)/(1+H55/B55)</f>
        <v>0.9920541592425758</v>
      </c>
      <c r="K49" s="191">
        <v>531</v>
      </c>
      <c r="L49" s="200">
        <f aca="true" t="shared" si="4" ref="L49:L55">K49/B49</f>
        <v>0.07004352987732489</v>
      </c>
      <c r="M49" s="201"/>
      <c r="N49" s="201"/>
      <c r="O49" s="201">
        <f>68.36+115.67</f>
        <v>184.03</v>
      </c>
      <c r="P49" s="333">
        <v>2498.87</v>
      </c>
      <c r="Q49" s="201">
        <v>6915.97</v>
      </c>
      <c r="R49" s="196">
        <f>0.2*O49*B55/SUM(O49*B49)+0.65*P49*B55/SUM(P49*B49)+0.15*Q49*B55/SUM(Q49*B49)</f>
        <v>3.0303390054082575</v>
      </c>
      <c r="S49" s="193">
        <f>(1+S45*K49/B49)/(1+S45*K55/B55)</f>
        <v>0.9318614085577925</v>
      </c>
      <c r="T49" s="196"/>
      <c r="U49" s="196">
        <f aca="true" t="shared" si="5" ref="U49:U54">1+0.2*AVERAGE($B$49:$B$54)/B49</f>
        <v>1.1010113001802753</v>
      </c>
      <c r="V49" s="197">
        <f>'Параметры модели'!C40*S49+'Параметры модели'!C41*R49+1-'Параметры модели'!C40-'Параметры модели'!C41</f>
        <v>1.0534913328089006</v>
      </c>
      <c r="W49" s="198"/>
      <c r="X49" s="202">
        <f>(Z49/B49)/(Z55/B55)</f>
        <v>1.0408128068147573</v>
      </c>
      <c r="Y49" s="199">
        <f>'Параметры модели'!E34*U49+'Параметры модели'!E33*X49+'Параметры модели'!E35*J49</f>
        <v>1.0241633285298153</v>
      </c>
      <c r="Z49" s="198">
        <v>232.8</v>
      </c>
      <c r="AA49" s="104"/>
      <c r="AB49" s="105"/>
      <c r="AC49" s="300">
        <f>V49*Y49*B55/SUMPRODUCT(V49:V54,Y49:Y54,B49:B54)</f>
        <v>0.8399242510660626</v>
      </c>
    </row>
    <row r="50" spans="1:29" ht="18.75">
      <c r="A50" s="189" t="s">
        <v>23</v>
      </c>
      <c r="B50" s="253">
        <v>7902</v>
      </c>
      <c r="C50" s="190"/>
      <c r="D50" s="190"/>
      <c r="E50" s="190"/>
      <c r="F50" s="190"/>
      <c r="G50" s="190"/>
      <c r="H50" s="191">
        <v>425</v>
      </c>
      <c r="I50" s="192">
        <f t="shared" si="3"/>
        <v>0.05378385218931916</v>
      </c>
      <c r="J50" s="193">
        <f>(1+H50/B50)/(1+H55/B55)</f>
        <v>0.9769795567353496</v>
      </c>
      <c r="K50" s="191">
        <v>425</v>
      </c>
      <c r="L50" s="200">
        <f t="shared" si="4"/>
        <v>0.05378385218931916</v>
      </c>
      <c r="M50" s="191"/>
      <c r="N50" s="191"/>
      <c r="O50" s="201">
        <f>59.64+61</f>
        <v>120.64</v>
      </c>
      <c r="P50" s="331">
        <v>2152.76</v>
      </c>
      <c r="Q50" s="332">
        <v>6915.97</v>
      </c>
      <c r="R50" s="196">
        <f>0.2*O50*B55/SUM(O50*B50)+0.65*P50*B55/SUM(P50*B50)+0.15*Q50*B55/SUM(Q50*B50)</f>
        <v>2.9072386737534797</v>
      </c>
      <c r="S50" s="193">
        <f>(1+S45*K50/B50)/(1+S45*K55/B55)</f>
        <v>0.928138655707162</v>
      </c>
      <c r="T50" s="196"/>
      <c r="U50" s="196">
        <f t="shared" si="5"/>
        <v>1.0969079557917827</v>
      </c>
      <c r="V50" s="197">
        <f>'Параметры модели'!C40*S50+'Параметры модели'!C41*R50+1-'Параметры модели'!C40-'Параметры модели'!C41</f>
        <v>1.0470997027715416</v>
      </c>
      <c r="W50" s="198"/>
      <c r="X50" s="202">
        <f>(Z50/B50)/(Z55/B55)</f>
        <v>1.1507998468103553</v>
      </c>
      <c r="Y50" s="199">
        <f>'Параметры модели'!E34*U50+'Параметры модели'!E33*X50+'Параметры модели'!E35*J50</f>
        <v>1.0127052356103308</v>
      </c>
      <c r="Z50" s="198">
        <v>268.3</v>
      </c>
      <c r="AA50" s="104"/>
      <c r="AB50" s="105"/>
      <c r="AC50" s="300">
        <f>V50*Y50*B55/SUMPRODUCT(V49:V54,Y49:Y54,B49:B54)</f>
        <v>0.8254884936469937</v>
      </c>
    </row>
    <row r="51" spans="1:29" ht="18.75">
      <c r="A51" s="189" t="s">
        <v>24</v>
      </c>
      <c r="B51" s="253">
        <v>3567</v>
      </c>
      <c r="C51" s="190"/>
      <c r="D51" s="190"/>
      <c r="E51" s="190"/>
      <c r="F51" s="190"/>
      <c r="G51" s="190"/>
      <c r="H51" s="254">
        <v>414</v>
      </c>
      <c r="I51" s="192">
        <f t="shared" si="3"/>
        <v>0.11606391925988226</v>
      </c>
      <c r="J51" s="193">
        <f>(1+H51/B51)/(1+H55/B55)</f>
        <v>1.034720384888707</v>
      </c>
      <c r="K51" s="254">
        <v>3567</v>
      </c>
      <c r="L51" s="200">
        <f t="shared" si="4"/>
        <v>1</v>
      </c>
      <c r="M51" s="191"/>
      <c r="N51" s="191"/>
      <c r="O51" s="201">
        <v>196.55</v>
      </c>
      <c r="P51" s="331">
        <v>4373.44</v>
      </c>
      <c r="Q51" s="332">
        <v>6915.97</v>
      </c>
      <c r="R51" s="196">
        <f>0.2*O51*B55/SUM(O51*B51)+0.65*P51*B55/SUM(P51*B51)+0.15*Q51*B55/SUM(Q51*B51)</f>
        <v>6.440426128399215</v>
      </c>
      <c r="S51" s="193">
        <f>(1+S45*K51/B51)/(1+S45*K55/B55)</f>
        <v>1.14478064143196</v>
      </c>
      <c r="T51" s="196"/>
      <c r="U51" s="196">
        <f t="shared" si="5"/>
        <v>1.2146808709466406</v>
      </c>
      <c r="V51" s="197">
        <f>'Параметры модели'!C40*S51+'Параметры модели'!C41*R51+1-'Параметры модели'!C40-'Параметры модели'!C41</f>
        <v>1.2745626585558174</v>
      </c>
      <c r="W51" s="198"/>
      <c r="X51" s="202">
        <f>(Z51/B51)/(Z55/B55)</f>
        <v>0.7601565214988747</v>
      </c>
      <c r="Y51" s="199">
        <f>'Параметры модели'!E34*U51+'Параметры модели'!E33*X51+'Параметры модели'!E35*J51</f>
        <v>1.086621021363162</v>
      </c>
      <c r="Z51" s="198">
        <v>80</v>
      </c>
      <c r="AA51" s="104"/>
      <c r="AB51" s="105"/>
      <c r="AC51" s="300">
        <f>V51*Y51*B55/SUMPRODUCT(V49:V54,Y49:Y54,B49:B54)</f>
        <v>1.0781500952336762</v>
      </c>
    </row>
    <row r="52" spans="1:29" ht="18.75">
      <c r="A52" s="189" t="s">
        <v>25</v>
      </c>
      <c r="B52" s="253">
        <v>1267</v>
      </c>
      <c r="C52" s="190"/>
      <c r="D52" s="190"/>
      <c r="E52" s="190"/>
      <c r="F52" s="190"/>
      <c r="G52" s="190"/>
      <c r="H52" s="254"/>
      <c r="I52" s="192">
        <f t="shared" si="3"/>
        <v>0</v>
      </c>
      <c r="J52" s="193">
        <f>(1+H52/B52)/(1+H55/B55)</f>
        <v>0.9271157028128656</v>
      </c>
      <c r="K52" s="254">
        <v>1267</v>
      </c>
      <c r="L52" s="200">
        <f t="shared" si="4"/>
        <v>1</v>
      </c>
      <c r="M52" s="191"/>
      <c r="N52" s="191"/>
      <c r="O52" s="201">
        <f>52.71+59.79</f>
        <v>112.5</v>
      </c>
      <c r="P52" s="331">
        <v>1264.17</v>
      </c>
      <c r="Q52" s="332">
        <v>6915.97</v>
      </c>
      <c r="R52" s="196">
        <f>0.2*O52*B55/SUM(O52*B52)+0.65*P52*B55/SUM(P52*B52)+0.15*Q52*B55/SUM(Q52*B52)</f>
        <v>18.131807419100237</v>
      </c>
      <c r="S52" s="193">
        <f>(1+S45*K52/B52)/(1+S45*K55/B55)</f>
        <v>1.14478064143196</v>
      </c>
      <c r="T52" s="196"/>
      <c r="U52" s="196">
        <f t="shared" si="5"/>
        <v>1.6043935806366747</v>
      </c>
      <c r="V52" s="197">
        <f>'Параметры модели'!C40*S52+'Параметры модели'!C41*R52+1-'Параметры модели'!C40-'Параметры модели'!C41</f>
        <v>1.7398705463965713</v>
      </c>
      <c r="W52" s="198"/>
      <c r="X52" s="202">
        <f>(Z52/B52)/(Z55/B55)</f>
        <v>1.024562148349866</v>
      </c>
      <c r="Y52" s="199">
        <f>'Параметры модели'!E34*U52+'Параметры модели'!E33*X52+'Параметры модели'!E35*J52</f>
        <v>1.1260503233784407</v>
      </c>
      <c r="Z52" s="198">
        <v>38.3</v>
      </c>
      <c r="AA52" s="104"/>
      <c r="AB52" s="105"/>
      <c r="AC52" s="300">
        <f>V52*Y52*B55/SUMPRODUCT(V49:V54,Y49:Y54,B49:B54)</f>
        <v>1.5251574072586216</v>
      </c>
    </row>
    <row r="53" spans="1:29" ht="18.75">
      <c r="A53" s="189" t="s">
        <v>26</v>
      </c>
      <c r="B53" s="253">
        <v>1590</v>
      </c>
      <c r="C53" s="190"/>
      <c r="D53" s="190"/>
      <c r="E53" s="190"/>
      <c r="F53" s="190"/>
      <c r="G53" s="190"/>
      <c r="H53" s="254">
        <v>436</v>
      </c>
      <c r="I53" s="192">
        <f t="shared" si="3"/>
        <v>0.2742138364779874</v>
      </c>
      <c r="J53" s="193">
        <f>(1+H53/B53)/(1+H55/B55)</f>
        <v>1.1813436565401672</v>
      </c>
      <c r="K53" s="254">
        <v>1590</v>
      </c>
      <c r="L53" s="200">
        <f t="shared" si="4"/>
        <v>1</v>
      </c>
      <c r="M53" s="191"/>
      <c r="N53" s="191"/>
      <c r="O53" s="201">
        <f>54.02+64</f>
        <v>118.02000000000001</v>
      </c>
      <c r="P53" s="331">
        <v>2465.27</v>
      </c>
      <c r="Q53" s="332">
        <v>6071.54</v>
      </c>
      <c r="R53" s="196">
        <f>0.2*O53*B55/SUM(O53*B53)+0.65*P53*B55/SUM(P53*B53)+0.15*Q53*B55/SUM(Q53*B53)</f>
        <v>14.448427672955974</v>
      </c>
      <c r="S53" s="193">
        <f>(1+S45*K53/B53)/(1+S45*K55/B55)</f>
        <v>1.14478064143196</v>
      </c>
      <c r="T53" s="196"/>
      <c r="U53" s="196">
        <f t="shared" si="5"/>
        <v>1.4816142557651992</v>
      </c>
      <c r="V53" s="197">
        <f>'Параметры модели'!C40*S53+'Параметры модели'!C41*R53+1-'Параметры модели'!C40-'Параметры модели'!C41</f>
        <v>1.593274895533915</v>
      </c>
      <c r="W53" s="198"/>
      <c r="X53" s="202">
        <f>(Z53/B53)/(Z55/B55)</f>
        <v>0.6181829485330824</v>
      </c>
      <c r="Y53" s="199">
        <f>'Параметры модели'!E34*U53+'Параметры модели'!E33*X53+'Параметры модели'!E35*J53</f>
        <v>1.2676066309545182</v>
      </c>
      <c r="Z53" s="198">
        <v>29</v>
      </c>
      <c r="AA53" s="104"/>
      <c r="AB53" s="105"/>
      <c r="AC53" s="300">
        <f>V53*Y53*B55/SUMPRODUCT(V49:V54,Y49:Y54,B49:B54)</f>
        <v>1.5722266303996415</v>
      </c>
    </row>
    <row r="54" spans="1:29" ht="18.75">
      <c r="A54" s="189" t="s">
        <v>27</v>
      </c>
      <c r="B54" s="253">
        <v>1066</v>
      </c>
      <c r="C54" s="190"/>
      <c r="D54" s="190"/>
      <c r="E54" s="190"/>
      <c r="F54" s="190"/>
      <c r="G54" s="190"/>
      <c r="H54" s="255"/>
      <c r="I54" s="192">
        <f t="shared" si="3"/>
        <v>0</v>
      </c>
      <c r="J54" s="193">
        <f>(1+H54/B54)/(1+H55/B55)</f>
        <v>0.9271157028128656</v>
      </c>
      <c r="K54" s="254">
        <v>1066</v>
      </c>
      <c r="L54" s="200">
        <f t="shared" si="4"/>
        <v>1</v>
      </c>
      <c r="M54" s="191"/>
      <c r="N54" s="191"/>
      <c r="O54" s="201">
        <f>55.37+62.29</f>
        <v>117.66</v>
      </c>
      <c r="P54" s="331">
        <v>565.59</v>
      </c>
      <c r="Q54" s="332">
        <v>6071.54</v>
      </c>
      <c r="R54" s="196">
        <f>0.2*O54*B55/SUM(O54*B54)+0.65*P54*B55/SUM(P54*B54)+0.15*Q54*B55/SUM(Q54*B54)</f>
        <v>21.55065666041276</v>
      </c>
      <c r="S54" s="193">
        <f>(1+S45*K54/B54)/(1+S45*K55/B55)</f>
        <v>1.14478064143196</v>
      </c>
      <c r="T54" s="196"/>
      <c r="U54" s="196">
        <f t="shared" si="5"/>
        <v>1.7183552220137588</v>
      </c>
      <c r="V54" s="197">
        <f>'Параметры модели'!C40*S54+'Параметры модели'!C41*R54+1-'Параметры модели'!C40-'Параметры модели'!C41</f>
        <v>1.8759380887823789</v>
      </c>
      <c r="W54" s="198"/>
      <c r="X54" s="202">
        <f>(Z54/B54)/(Z55/B55)</f>
        <v>0.9347732455239526</v>
      </c>
      <c r="Y54" s="199">
        <f>'Параметры модели'!E34*U54+'Параметры модели'!E33*X54+'Параметры модели'!E35*J54</f>
        <v>1.1591851320016966</v>
      </c>
      <c r="Z54" s="198">
        <v>29.4</v>
      </c>
      <c r="AA54" s="104"/>
      <c r="AB54" s="105"/>
      <c r="AC54" s="300">
        <f>V54*Y54*B55/SUMPRODUCT(V49:V54,Y49:Y54,B49:B54)</f>
        <v>1.6928217718940044</v>
      </c>
    </row>
    <row r="55" spans="1:29" ht="15.75">
      <c r="A55" s="120" t="s">
        <v>28</v>
      </c>
      <c r="B55" s="121">
        <f>SUM(B49:B54)</f>
        <v>22973</v>
      </c>
      <c r="C55" s="122"/>
      <c r="D55" s="122"/>
      <c r="E55" s="122"/>
      <c r="F55" s="122"/>
      <c r="G55" s="122"/>
      <c r="H55" s="121">
        <f>SUM(H49:H54)</f>
        <v>1806</v>
      </c>
      <c r="I55" s="123">
        <f>H55/B55</f>
        <v>0.0786140251599704</v>
      </c>
      <c r="J55" s="122"/>
      <c r="K55" s="121">
        <f>SUM(K49:K54)</f>
        <v>8446</v>
      </c>
      <c r="L55" s="124">
        <f t="shared" si="4"/>
        <v>0.36764897923649503</v>
      </c>
      <c r="M55" s="122"/>
      <c r="N55" s="122"/>
      <c r="O55" s="125">
        <f>SUM(O49:O54)/6</f>
        <v>141.56666666666666</v>
      </c>
      <c r="P55" s="125">
        <f>SUM(P49:P54)/6</f>
        <v>2220.016666666667</v>
      </c>
      <c r="Q55" s="125">
        <f>SUM(Q49:Q54)/6</f>
        <v>6634.493333333333</v>
      </c>
      <c r="R55" s="126">
        <f>0.9+0.1*(0.2*O55/O$55+0.65*P55/P$55+0.15*Q55/Q$55)</f>
        <v>1</v>
      </c>
      <c r="S55" s="122"/>
      <c r="T55" s="126"/>
      <c r="U55" s="126"/>
      <c r="V55" s="129"/>
      <c r="W55" s="122"/>
      <c r="X55" s="122"/>
      <c r="Y55" s="122"/>
      <c r="Z55" s="122">
        <f>SUM(Z49:Z54)</f>
        <v>677.8</v>
      </c>
      <c r="AA55" s="106"/>
      <c r="AB55" s="107"/>
      <c r="AC55" s="107"/>
    </row>
    <row r="56" spans="2:29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326"/>
      <c r="AA56" s="62"/>
      <c r="AB56" s="62"/>
      <c r="AC56" s="62"/>
    </row>
    <row r="57" ht="12.75">
      <c r="Z57" s="327"/>
    </row>
    <row r="58" ht="12.75">
      <c r="Z58" s="327"/>
    </row>
    <row r="59" spans="1:29" ht="15.75">
      <c r="A59" s="9"/>
      <c r="B59" s="139" t="s">
        <v>115</v>
      </c>
      <c r="C59" s="140"/>
      <c r="D59" s="140"/>
      <c r="E59" s="140"/>
      <c r="F59" s="140"/>
      <c r="G59" s="141"/>
      <c r="H59" s="140"/>
      <c r="I59" s="142"/>
      <c r="J59" s="143"/>
      <c r="K59" s="140"/>
      <c r="L59" s="144"/>
      <c r="M59" s="141"/>
      <c r="N59" s="141"/>
      <c r="O59" s="145"/>
      <c r="P59" s="16"/>
      <c r="Q59" s="16"/>
      <c r="R59" s="11"/>
      <c r="S59" s="15"/>
      <c r="T59" s="11"/>
      <c r="U59" s="17"/>
      <c r="V59" s="18"/>
      <c r="W59" s="18"/>
      <c r="X59" s="18"/>
      <c r="Y59" s="18"/>
      <c r="Z59" s="328"/>
      <c r="AA59" s="13"/>
      <c r="AB59" s="13"/>
      <c r="AC59" s="13"/>
    </row>
    <row r="60" spans="1:29" ht="12.75">
      <c r="A60" s="9"/>
      <c r="B60" s="10"/>
      <c r="C60" s="10"/>
      <c r="D60" s="10"/>
      <c r="E60" s="10"/>
      <c r="F60" s="10"/>
      <c r="G60" s="11"/>
      <c r="H60" s="10"/>
      <c r="I60" s="12"/>
      <c r="J60" s="13"/>
      <c r="K60" s="10"/>
      <c r="L60" s="14"/>
      <c r="M60" s="11"/>
      <c r="N60" s="11"/>
      <c r="O60" s="16"/>
      <c r="P60" s="16"/>
      <c r="Q60" s="16"/>
      <c r="R60" s="11"/>
      <c r="S60" s="146">
        <v>0.25</v>
      </c>
      <c r="T60" s="11"/>
      <c r="U60" s="17"/>
      <c r="V60" s="18"/>
      <c r="W60" s="18"/>
      <c r="X60" s="18"/>
      <c r="Y60" s="18"/>
      <c r="Z60" s="328"/>
      <c r="AA60" s="13"/>
      <c r="AB60" s="13"/>
      <c r="AC60" s="13"/>
    </row>
    <row r="61" spans="1:29" ht="12.75" customHeight="1">
      <c r="A61" s="339" t="s">
        <v>0</v>
      </c>
      <c r="B61" s="339" t="s">
        <v>1</v>
      </c>
      <c r="C61" s="339"/>
      <c r="D61" s="339"/>
      <c r="E61" s="339"/>
      <c r="F61" s="339"/>
      <c r="G61" s="339"/>
      <c r="H61" s="339" t="s">
        <v>12</v>
      </c>
      <c r="I61" s="339" t="s">
        <v>48</v>
      </c>
      <c r="J61" s="339" t="s">
        <v>2</v>
      </c>
      <c r="K61" s="339" t="s">
        <v>13</v>
      </c>
      <c r="L61" s="339" t="s">
        <v>10</v>
      </c>
      <c r="M61" s="339"/>
      <c r="N61" s="339"/>
      <c r="O61" s="339" t="s">
        <v>61</v>
      </c>
      <c r="P61" s="339" t="s">
        <v>60</v>
      </c>
      <c r="Q61" s="339" t="s">
        <v>62</v>
      </c>
      <c r="R61" s="339" t="s">
        <v>47</v>
      </c>
      <c r="S61" s="339" t="s">
        <v>52</v>
      </c>
      <c r="T61" s="339"/>
      <c r="U61" s="339" t="s">
        <v>59</v>
      </c>
      <c r="V61" s="339" t="s">
        <v>53</v>
      </c>
      <c r="W61" s="339"/>
      <c r="X61" s="339" t="s">
        <v>56</v>
      </c>
      <c r="Y61" s="339" t="s">
        <v>55</v>
      </c>
      <c r="Z61" s="339" t="s">
        <v>57</v>
      </c>
      <c r="AA61" s="344"/>
      <c r="AB61" s="347"/>
      <c r="AC61" s="350" t="s">
        <v>58</v>
      </c>
    </row>
    <row r="62" spans="1:29" ht="12.75" customHeight="1">
      <c r="A62" s="340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2"/>
      <c r="P62" s="342"/>
      <c r="Q62" s="342"/>
      <c r="R62" s="340"/>
      <c r="S62" s="340"/>
      <c r="T62" s="340"/>
      <c r="U62" s="340"/>
      <c r="V62" s="340"/>
      <c r="W62" s="340"/>
      <c r="X62" s="340"/>
      <c r="Y62" s="340"/>
      <c r="Z62" s="340"/>
      <c r="AA62" s="345"/>
      <c r="AB62" s="348"/>
      <c r="AC62" s="351"/>
    </row>
    <row r="63" spans="1:29" ht="135" customHeight="1">
      <c r="A63" s="341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3"/>
      <c r="P63" s="343"/>
      <c r="Q63" s="343"/>
      <c r="R63" s="341"/>
      <c r="S63" s="341"/>
      <c r="T63" s="341"/>
      <c r="U63" s="341"/>
      <c r="V63" s="341"/>
      <c r="W63" s="341"/>
      <c r="X63" s="341"/>
      <c r="Y63" s="341"/>
      <c r="Z63" s="341"/>
      <c r="AA63" s="346"/>
      <c r="AB63" s="349"/>
      <c r="AC63" s="352"/>
    </row>
    <row r="64" spans="1:29" ht="18.75">
      <c r="A64" s="189" t="s">
        <v>22</v>
      </c>
      <c r="B64" s="255">
        <v>7581</v>
      </c>
      <c r="C64" s="191"/>
      <c r="D64" s="191"/>
      <c r="E64" s="191"/>
      <c r="F64" s="191"/>
      <c r="G64" s="191"/>
      <c r="H64" s="191">
        <v>531</v>
      </c>
      <c r="I64" s="192">
        <f aca="true" t="shared" si="6" ref="I64:I69">H64/B64</f>
        <v>0.07004352987732489</v>
      </c>
      <c r="J64" s="193">
        <f>(1+H64/B64)/(1+H70/B70)</f>
        <v>0.9920541592425758</v>
      </c>
      <c r="K64" s="191">
        <v>531</v>
      </c>
      <c r="L64" s="194">
        <f aca="true" t="shared" si="7" ref="L64:L70">K64/B64</f>
        <v>0.07004352987732489</v>
      </c>
      <c r="M64" s="195"/>
      <c r="N64" s="195"/>
      <c r="O64" s="195">
        <f>71.09+120.3</f>
        <v>191.39</v>
      </c>
      <c r="P64" s="334">
        <v>2598.82</v>
      </c>
      <c r="Q64" s="195">
        <v>7164.95</v>
      </c>
      <c r="R64" s="196">
        <f>0.2*O64*B70/SUM(O64*B64)+0.65*P64*B70/SUM(P64*B64)+0.15*Q64*B70/SUM(Q64*B64)</f>
        <v>3.0303390054082575</v>
      </c>
      <c r="S64" s="193">
        <f>(1+S60*K64/B64)/(1+S60*K70/B70)</f>
        <v>0.9318614085577925</v>
      </c>
      <c r="T64" s="196"/>
      <c r="U64" s="196">
        <f aca="true" t="shared" si="8" ref="U64:U69">1+0.2*AVERAGE($B$64:$B$69)/B64</f>
        <v>1.1010113001802753</v>
      </c>
      <c r="V64" s="197">
        <f>'Параметры модели'!C40*S64+'Параметры модели'!C41*R64+1-'Параметры модели'!C40-'Параметры модели'!C41</f>
        <v>1.0534913328089006</v>
      </c>
      <c r="W64" s="198"/>
      <c r="X64" s="202">
        <f>(Z64/B64)/(Z70/B70)</f>
        <v>1.0408128068147573</v>
      </c>
      <c r="Y64" s="199">
        <f>'Параметры модели'!E34*U64+'Параметры модели'!E33*X64+'Параметры модели'!E35*J64</f>
        <v>1.0241633285298153</v>
      </c>
      <c r="Z64" s="198">
        <v>232.8</v>
      </c>
      <c r="AA64" s="104"/>
      <c r="AB64" s="105"/>
      <c r="AC64" s="300">
        <f>V64*Y64*B70/SUMPRODUCT(V64:V69,Y64:Y69,B64:B69)</f>
        <v>0.8399242510660626</v>
      </c>
    </row>
    <row r="65" spans="1:29" ht="18.75">
      <c r="A65" s="189" t="s">
        <v>23</v>
      </c>
      <c r="B65" s="255">
        <v>7902</v>
      </c>
      <c r="C65" s="191"/>
      <c r="D65" s="191"/>
      <c r="E65" s="191"/>
      <c r="F65" s="191"/>
      <c r="G65" s="191"/>
      <c r="H65" s="191">
        <v>425</v>
      </c>
      <c r="I65" s="192">
        <f t="shared" si="6"/>
        <v>0.05378385218931916</v>
      </c>
      <c r="J65" s="193">
        <f>(1+H65/B65)/(1+H70/B70)</f>
        <v>0.9769795567353496</v>
      </c>
      <c r="K65" s="191">
        <v>425</v>
      </c>
      <c r="L65" s="194">
        <f t="shared" si="7"/>
        <v>0.05378385218931916</v>
      </c>
      <c r="M65" s="191"/>
      <c r="N65" s="191"/>
      <c r="O65" s="195">
        <f>62.03+63.44</f>
        <v>125.47</v>
      </c>
      <c r="P65" s="335">
        <v>2238.87</v>
      </c>
      <c r="Q65" s="195">
        <v>7164.95</v>
      </c>
      <c r="R65" s="196">
        <f>0.2*O65*B70/SUM(O65*B65)+0.65*P65*B70/SUM(P65*B65)+0.15*Q65*B70/SUM(Q65*B65)</f>
        <v>2.9072386737534806</v>
      </c>
      <c r="S65" s="193">
        <f>(1+S60*K65/B65)/(1+S60*K70/B70)</f>
        <v>0.928138655707162</v>
      </c>
      <c r="T65" s="196"/>
      <c r="U65" s="196">
        <f t="shared" si="8"/>
        <v>1.0969079557917827</v>
      </c>
      <c r="V65" s="197">
        <f>'Параметры модели'!C40*S65+'Параметры модели'!C41*R65+1-'Параметры модели'!C40-'Параметры модели'!C41</f>
        <v>1.0470997027715416</v>
      </c>
      <c r="W65" s="198"/>
      <c r="X65" s="202">
        <f>(Z65/B65)/(Z70/B70)</f>
        <v>1.1507998468103553</v>
      </c>
      <c r="Y65" s="199">
        <f>'Параметры модели'!E34*U65+'Параметры модели'!E33*X65+'Параметры модели'!E35*J65</f>
        <v>1.0127052356103308</v>
      </c>
      <c r="Z65" s="198">
        <v>268.3</v>
      </c>
      <c r="AA65" s="104"/>
      <c r="AB65" s="105"/>
      <c r="AC65" s="300">
        <f>V65*Y65*B70/SUMPRODUCT(V64:V69,Y64:Y69,B64:B69)</f>
        <v>0.8254884936469937</v>
      </c>
    </row>
    <row r="66" spans="1:29" ht="18.75">
      <c r="A66" s="189" t="s">
        <v>24</v>
      </c>
      <c r="B66" s="255">
        <v>3567</v>
      </c>
      <c r="C66" s="191"/>
      <c r="D66" s="191"/>
      <c r="E66" s="191"/>
      <c r="F66" s="191"/>
      <c r="G66" s="191"/>
      <c r="H66" s="255">
        <v>414</v>
      </c>
      <c r="I66" s="192">
        <f t="shared" si="6"/>
        <v>0.11606391925988226</v>
      </c>
      <c r="J66" s="193">
        <f>(1+H66/B66)/(1+H70/B70)</f>
        <v>1.034720384888707</v>
      </c>
      <c r="K66" s="255">
        <v>3567</v>
      </c>
      <c r="L66" s="194">
        <f t="shared" si="7"/>
        <v>1</v>
      </c>
      <c r="M66" s="191"/>
      <c r="N66" s="191"/>
      <c r="O66" s="195">
        <v>204.41</v>
      </c>
      <c r="P66" s="335">
        <v>4548.38</v>
      </c>
      <c r="Q66" s="195">
        <v>7164.95</v>
      </c>
      <c r="R66" s="196">
        <f>0.2*O66*B70/SUM(O66*B66)+0.65*P66*B70/SUM(P66*B66)+0.15*Q66*B70/SUM(Q66*B66)</f>
        <v>6.440426128399216</v>
      </c>
      <c r="S66" s="193">
        <f>(1+S60*K66/B66)/(1+S60*K70/B70)</f>
        <v>1.14478064143196</v>
      </c>
      <c r="T66" s="196"/>
      <c r="U66" s="196">
        <f t="shared" si="8"/>
        <v>1.2146808709466406</v>
      </c>
      <c r="V66" s="197">
        <f>'Параметры модели'!C40*S66+'Параметры модели'!C41*R66+1-'Параметры модели'!C40-'Параметры модели'!C41</f>
        <v>1.2745626585558174</v>
      </c>
      <c r="W66" s="198"/>
      <c r="X66" s="202">
        <f>(Z66/B66)/(Z70/B70)</f>
        <v>0.7601565214988747</v>
      </c>
      <c r="Y66" s="199">
        <f>'Параметры модели'!E34*U66+'Параметры модели'!E33*X66+'Параметры модели'!E35*J66</f>
        <v>1.086621021363162</v>
      </c>
      <c r="Z66" s="198">
        <v>80</v>
      </c>
      <c r="AA66" s="104"/>
      <c r="AB66" s="105"/>
      <c r="AC66" s="300">
        <f>V66*Y66*B70/SUMPRODUCT(V64:V69,Y64:Y69,B64:B69)</f>
        <v>1.0781500952336762</v>
      </c>
    </row>
    <row r="67" spans="1:29" ht="18.75">
      <c r="A67" s="189" t="s">
        <v>25</v>
      </c>
      <c r="B67" s="255">
        <v>1267</v>
      </c>
      <c r="C67" s="191"/>
      <c r="D67" s="191"/>
      <c r="E67" s="191"/>
      <c r="F67" s="191"/>
      <c r="G67" s="191"/>
      <c r="H67" s="255"/>
      <c r="I67" s="192">
        <f t="shared" si="6"/>
        <v>0</v>
      </c>
      <c r="J67" s="193">
        <f>(1+H67/B67)/(1+H70/B70)</f>
        <v>0.9271157028128656</v>
      </c>
      <c r="K67" s="255">
        <v>1267</v>
      </c>
      <c r="L67" s="194">
        <f t="shared" si="7"/>
        <v>1</v>
      </c>
      <c r="M67" s="191"/>
      <c r="N67" s="191"/>
      <c r="O67" s="329">
        <f>54.82+62.18</f>
        <v>117</v>
      </c>
      <c r="P67" s="335">
        <v>1314.74</v>
      </c>
      <c r="Q67" s="195">
        <v>7164.95</v>
      </c>
      <c r="R67" s="196">
        <f>0.2*O67*B70/SUM(O67*B67)+0.65*P67*B70/SUM(P67*B67)+0.15*Q67*B70/SUM(Q67*B67)</f>
        <v>18.131807419100237</v>
      </c>
      <c r="S67" s="193">
        <f>(1+S60*K67/B67)/(1+S60*K70/B70)</f>
        <v>1.14478064143196</v>
      </c>
      <c r="T67" s="196"/>
      <c r="U67" s="196">
        <f t="shared" si="8"/>
        <v>1.6043935806366747</v>
      </c>
      <c r="V67" s="197">
        <f>'Параметры модели'!C40*S67+'Параметры модели'!C41*R67+1-'Параметры модели'!C40-'Параметры модели'!C41</f>
        <v>1.7398705463965713</v>
      </c>
      <c r="W67" s="198"/>
      <c r="X67" s="202">
        <f>(Z67/B67)/(Z70/B70)</f>
        <v>1.024562148349866</v>
      </c>
      <c r="Y67" s="199">
        <f>'Параметры модели'!E34*U67+'Параметры модели'!E33*X67+'Параметры модели'!E35*J67</f>
        <v>1.1260503233784407</v>
      </c>
      <c r="Z67" s="198">
        <v>38.3</v>
      </c>
      <c r="AA67" s="104"/>
      <c r="AB67" s="105"/>
      <c r="AC67" s="300">
        <f>V67*Y67*B70/SUMPRODUCT(V64:V69,Y64:Y69,B64:B69)</f>
        <v>1.5251574072586216</v>
      </c>
    </row>
    <row r="68" spans="1:29" ht="18.75">
      <c r="A68" s="189" t="s">
        <v>26</v>
      </c>
      <c r="B68" s="255">
        <v>1590</v>
      </c>
      <c r="C68" s="191"/>
      <c r="D68" s="191"/>
      <c r="E68" s="191"/>
      <c r="F68" s="191"/>
      <c r="G68" s="191"/>
      <c r="H68" s="255">
        <v>436</v>
      </c>
      <c r="I68" s="192">
        <f t="shared" si="6"/>
        <v>0.2742138364779874</v>
      </c>
      <c r="J68" s="193">
        <f>(1+H68/B68)/(1+H70/B70)</f>
        <v>1.1813436565401672</v>
      </c>
      <c r="K68" s="255">
        <v>1590</v>
      </c>
      <c r="L68" s="194">
        <f t="shared" si="7"/>
        <v>1</v>
      </c>
      <c r="M68" s="191"/>
      <c r="N68" s="191"/>
      <c r="O68" s="195">
        <f>56.18+66.56</f>
        <v>122.74000000000001</v>
      </c>
      <c r="P68" s="335">
        <v>2563.88</v>
      </c>
      <c r="Q68" s="191">
        <v>6290.12</v>
      </c>
      <c r="R68" s="196">
        <f>0.2*O68*B70/SUM(O68*B68)+0.65*P68*B70/SUM(P68*B68)+0.15*Q68*B70/SUM(Q68*B68)</f>
        <v>14.448427672955974</v>
      </c>
      <c r="S68" s="193">
        <f>(1+S60*K68/B68)/(1+S60*K70/B70)</f>
        <v>1.14478064143196</v>
      </c>
      <c r="T68" s="196"/>
      <c r="U68" s="196">
        <f t="shared" si="8"/>
        <v>1.4816142557651992</v>
      </c>
      <c r="V68" s="197">
        <f>'Параметры модели'!C40*S68+'Параметры модели'!C41*R68+1-'Параметры модели'!C40-'Параметры модели'!C41</f>
        <v>1.593274895533915</v>
      </c>
      <c r="W68" s="198"/>
      <c r="X68" s="202">
        <f>(Z68/B68)/(Z70/B70)</f>
        <v>0.6181829485330824</v>
      </c>
      <c r="Y68" s="199">
        <f>'Параметры модели'!E34*U68+'Параметры модели'!E33*X68+'Параметры модели'!E35*J68</f>
        <v>1.2676066309545182</v>
      </c>
      <c r="Z68" s="198">
        <v>29</v>
      </c>
      <c r="AA68" s="104"/>
      <c r="AB68" s="105"/>
      <c r="AC68" s="300">
        <f>V68*Y68*B70/SUMPRODUCT(V64:V69,Y64:Y69,B64:B69)</f>
        <v>1.5722266303996415</v>
      </c>
    </row>
    <row r="69" spans="1:29" ht="18.75">
      <c r="A69" s="189" t="s">
        <v>27</v>
      </c>
      <c r="B69" s="255">
        <v>1066</v>
      </c>
      <c r="C69" s="191"/>
      <c r="D69" s="191"/>
      <c r="E69" s="191"/>
      <c r="F69" s="191"/>
      <c r="G69" s="191"/>
      <c r="H69" s="255"/>
      <c r="I69" s="192">
        <f t="shared" si="6"/>
        <v>0</v>
      </c>
      <c r="J69" s="193">
        <f>(1+H69/B69)/(1+H70/B70)</f>
        <v>0.9271157028128656</v>
      </c>
      <c r="K69" s="255">
        <v>1066</v>
      </c>
      <c r="L69" s="194">
        <f t="shared" si="7"/>
        <v>1</v>
      </c>
      <c r="M69" s="191"/>
      <c r="N69" s="191"/>
      <c r="O69" s="195">
        <f>57.59+64.78</f>
        <v>122.37</v>
      </c>
      <c r="P69" s="335">
        <v>588.21</v>
      </c>
      <c r="Q69" s="191">
        <v>6290.12</v>
      </c>
      <c r="R69" s="196">
        <f>0.2*O69*B70/SUM(O69*B69)+0.65*P69*B70/SUM(P69*B69)+0.15*Q69*B70/SUM(Q69*B69)</f>
        <v>21.550656660412763</v>
      </c>
      <c r="S69" s="193">
        <f>(1+S60*K69/B69)/(1+S60*K70/B70)</f>
        <v>1.14478064143196</v>
      </c>
      <c r="T69" s="196"/>
      <c r="U69" s="196">
        <f t="shared" si="8"/>
        <v>1.7183552220137588</v>
      </c>
      <c r="V69" s="197">
        <f>'Параметры модели'!C40*S69+'Параметры модели'!C41*R69+1-'Параметры модели'!C40-'Параметры модели'!C41</f>
        <v>1.8759380887823789</v>
      </c>
      <c r="W69" s="198"/>
      <c r="X69" s="202">
        <f>(Z69/B69)/(Z70/B70)</f>
        <v>0.9347732455239526</v>
      </c>
      <c r="Y69" s="199">
        <f>'Параметры модели'!E34*U69+'Параметры модели'!E33*X69+'Параметры модели'!E35*J69</f>
        <v>1.1591851320016966</v>
      </c>
      <c r="Z69" s="198">
        <v>29.4</v>
      </c>
      <c r="AA69" s="104"/>
      <c r="AB69" s="105"/>
      <c r="AC69" s="300">
        <f>V69*Y69*B70/SUMPRODUCT(V64:V69,Y64:Y69,B64:B69)</f>
        <v>1.6928217718940044</v>
      </c>
    </row>
    <row r="70" spans="1:29" ht="15.75">
      <c r="A70" s="120" t="s">
        <v>28</v>
      </c>
      <c r="B70" s="121">
        <f>SUM(B64:B69)</f>
        <v>22973</v>
      </c>
      <c r="C70" s="122"/>
      <c r="D70" s="122"/>
      <c r="E70" s="122"/>
      <c r="F70" s="122"/>
      <c r="G70" s="122"/>
      <c r="H70" s="121">
        <f>SUM(H64:H69)</f>
        <v>1806</v>
      </c>
      <c r="I70" s="123">
        <f>H70/B70</f>
        <v>0.0786140251599704</v>
      </c>
      <c r="J70" s="122"/>
      <c r="K70" s="121">
        <f>SUM(K64:K69)</f>
        <v>8446</v>
      </c>
      <c r="L70" s="124">
        <f t="shared" si="7"/>
        <v>0.36764897923649503</v>
      </c>
      <c r="M70" s="122"/>
      <c r="N70" s="122"/>
      <c r="O70" s="125">
        <f>SUM(O64:O69)/6</f>
        <v>147.23</v>
      </c>
      <c r="P70" s="125">
        <f>SUM(P64:P69)/6</f>
        <v>2308.816666666666</v>
      </c>
      <c r="Q70" s="125">
        <f>SUM(Q64:Q69)/6</f>
        <v>6873.34</v>
      </c>
      <c r="R70" s="128">
        <f>(0.2*O70/O$70+0.65*P70/P$70+0.15*Q70/Q$70)</f>
        <v>1</v>
      </c>
      <c r="S70" s="122"/>
      <c r="T70" s="126"/>
      <c r="U70" s="126"/>
      <c r="V70" s="121"/>
      <c r="W70" s="122"/>
      <c r="X70" s="122"/>
      <c r="Y70" s="122"/>
      <c r="Z70" s="122">
        <f>SUM(Z64:Z69)</f>
        <v>677.8</v>
      </c>
      <c r="AA70" s="106"/>
      <c r="AB70" s="107"/>
      <c r="AC70" s="301"/>
    </row>
    <row r="71" spans="2:29" ht="12.7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3"/>
      <c r="W71" s="63"/>
      <c r="X71" s="63"/>
      <c r="Y71" s="63"/>
      <c r="Z71" s="63"/>
      <c r="AA71" s="62"/>
      <c r="AB71" s="62"/>
      <c r="AC71" s="62"/>
    </row>
    <row r="72" ht="12.75"/>
    <row r="73" ht="12.75"/>
  </sheetData>
  <sheetProtection/>
  <mergeCells count="87">
    <mergeCell ref="W61:W63"/>
    <mergeCell ref="S61:S63"/>
    <mergeCell ref="T61:T63"/>
    <mergeCell ref="X46:X48"/>
    <mergeCell ref="Y46:Y48"/>
    <mergeCell ref="X61:X63"/>
    <mergeCell ref="Y61:Y63"/>
    <mergeCell ref="O61:O63"/>
    <mergeCell ref="P61:P63"/>
    <mergeCell ref="Q61:Q63"/>
    <mergeCell ref="R61:R63"/>
    <mergeCell ref="AC61:AC63"/>
    <mergeCell ref="AA61:AA63"/>
    <mergeCell ref="AB61:AB63"/>
    <mergeCell ref="Z61:Z63"/>
    <mergeCell ref="U61:U63"/>
    <mergeCell ref="V61:V63"/>
    <mergeCell ref="H61:H63"/>
    <mergeCell ref="M61:M63"/>
    <mergeCell ref="N61:N63"/>
    <mergeCell ref="I61:I63"/>
    <mergeCell ref="J61:J63"/>
    <mergeCell ref="K61:K63"/>
    <mergeCell ref="L61:L63"/>
    <mergeCell ref="A61:A63"/>
    <mergeCell ref="B61:B63"/>
    <mergeCell ref="C61:C63"/>
    <mergeCell ref="D61:D63"/>
    <mergeCell ref="V46:V48"/>
    <mergeCell ref="P46:P48"/>
    <mergeCell ref="Q46:Q48"/>
    <mergeCell ref="E61:E63"/>
    <mergeCell ref="F61:F63"/>
    <mergeCell ref="G61:G63"/>
    <mergeCell ref="G46:G48"/>
    <mergeCell ref="O46:O48"/>
    <mergeCell ref="J46:J48"/>
    <mergeCell ref="K46:K48"/>
    <mergeCell ref="L46:L48"/>
    <mergeCell ref="M46:M48"/>
    <mergeCell ref="H46:H48"/>
    <mergeCell ref="I46:I48"/>
    <mergeCell ref="A46:A48"/>
    <mergeCell ref="B46:B48"/>
    <mergeCell ref="C46:C48"/>
    <mergeCell ref="D46:D48"/>
    <mergeCell ref="E46:E48"/>
    <mergeCell ref="F46:F48"/>
    <mergeCell ref="AB46:AB48"/>
    <mergeCell ref="AC46:AC48"/>
    <mergeCell ref="AA9:AA11"/>
    <mergeCell ref="AB9:AB11"/>
    <mergeCell ref="W46:W48"/>
    <mergeCell ref="R46:R48"/>
    <mergeCell ref="S46:S48"/>
    <mergeCell ref="Z46:Z48"/>
    <mergeCell ref="T46:T48"/>
    <mergeCell ref="U46:U48"/>
    <mergeCell ref="AC9:AC11"/>
    <mergeCell ref="AA46:AA48"/>
    <mergeCell ref="N46:N48"/>
    <mergeCell ref="Z9:Z11"/>
    <mergeCell ref="U9:U11"/>
    <mergeCell ref="V9:V11"/>
    <mergeCell ref="W9:W11"/>
    <mergeCell ref="Y9:Y11"/>
    <mergeCell ref="X9:X11"/>
    <mergeCell ref="S9:S11"/>
    <mergeCell ref="T9:T11"/>
    <mergeCell ref="O9:O11"/>
    <mergeCell ref="P9:P11"/>
    <mergeCell ref="Q9:Q11"/>
    <mergeCell ref="R9:R11"/>
    <mergeCell ref="G9:G11"/>
    <mergeCell ref="H9:H11"/>
    <mergeCell ref="M9:M11"/>
    <mergeCell ref="N9:N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</mergeCells>
  <printOptions/>
  <pageMargins left="0" right="0" top="0" bottom="0" header="0" footer="0"/>
  <pageSetup horizontalDpi="600" verticalDpi="600" orientation="landscape" paperSize="9" scale="46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zoomScaleSheetLayoutView="75" zoomScalePageLayoutView="0" workbookViewId="0" topLeftCell="A1">
      <selection activeCell="A56" sqref="A56:C56"/>
    </sheetView>
  </sheetViews>
  <sheetFormatPr defaultColWidth="12.25390625" defaultRowHeight="12.75"/>
  <cols>
    <col min="1" max="1" width="26.875" style="4" customWidth="1"/>
    <col min="2" max="2" width="26.75390625" style="4" customWidth="1"/>
    <col min="3" max="3" width="19.75390625" style="4" customWidth="1"/>
    <col min="4" max="4" width="15.75390625" style="4" customWidth="1"/>
    <col min="5" max="6" width="16.375" style="4" customWidth="1"/>
    <col min="7" max="7" width="18.75390625" style="4" customWidth="1"/>
    <col min="8" max="8" width="14.125" style="4" customWidth="1"/>
    <col min="9" max="9" width="17.75390625" style="4" customWidth="1"/>
    <col min="10" max="13" width="12.25390625" style="4" customWidth="1"/>
    <col min="14" max="16384" width="12.25390625" style="4" customWidth="1"/>
  </cols>
  <sheetData>
    <row r="1" spans="1:9" ht="12.75">
      <c r="A1" s="51"/>
      <c r="B1" s="51"/>
      <c r="C1" s="51"/>
      <c r="D1" s="51"/>
      <c r="E1" s="51"/>
      <c r="F1" s="51"/>
      <c r="G1" s="51"/>
      <c r="H1" s="88"/>
      <c r="I1" s="51"/>
    </row>
    <row r="2" spans="1:9" ht="12.75">
      <c r="A2" s="51"/>
      <c r="B2" s="51"/>
      <c r="C2" s="51"/>
      <c r="D2" s="51"/>
      <c r="E2" s="51"/>
      <c r="F2" s="51"/>
      <c r="G2" s="51"/>
      <c r="H2" s="88"/>
      <c r="I2" s="51"/>
    </row>
    <row r="8" spans="1:9" ht="15.75">
      <c r="A8" s="6"/>
      <c r="B8" s="41" t="s">
        <v>74</v>
      </c>
      <c r="C8" s="42"/>
      <c r="D8" s="42"/>
      <c r="E8" s="43"/>
      <c r="F8" s="5"/>
      <c r="G8" s="5"/>
      <c r="H8" s="5"/>
      <c r="I8" s="5"/>
    </row>
    <row r="9" spans="2:4" ht="13.5" thickBot="1">
      <c r="B9" s="234"/>
      <c r="C9" s="234"/>
      <c r="D9" s="234"/>
    </row>
    <row r="10" spans="1:9" ht="63">
      <c r="A10" s="360" t="s">
        <v>0</v>
      </c>
      <c r="B10" s="185" t="s">
        <v>14</v>
      </c>
      <c r="C10" s="185" t="s">
        <v>35</v>
      </c>
      <c r="D10" s="185" t="s">
        <v>29</v>
      </c>
      <c r="E10" s="353" t="s">
        <v>11</v>
      </c>
      <c r="F10" s="353" t="s">
        <v>82</v>
      </c>
      <c r="G10" s="353" t="s">
        <v>83</v>
      </c>
      <c r="H10" s="356" t="s">
        <v>84</v>
      </c>
      <c r="I10" s="364"/>
    </row>
    <row r="11" spans="1:9" ht="32.25" customHeight="1" thickBot="1">
      <c r="A11" s="361"/>
      <c r="B11" s="357" t="s">
        <v>109</v>
      </c>
      <c r="C11" s="358"/>
      <c r="D11" s="359"/>
      <c r="E11" s="354"/>
      <c r="F11" s="354"/>
      <c r="G11" s="354"/>
      <c r="H11" s="356"/>
      <c r="I11" s="364"/>
    </row>
    <row r="12" spans="1:11" ht="18.75">
      <c r="A12" s="186" t="s">
        <v>22</v>
      </c>
      <c r="B12" s="256">
        <f>'налоговый потенциал'!E3</f>
        <v>28459.039317062987</v>
      </c>
      <c r="C12" s="257">
        <f>'налоговый потенциал'!I3</f>
        <v>1179.0137195121952</v>
      </c>
      <c r="D12" s="258">
        <f>'налоговый потенциал'!M3</f>
        <v>5500.76417419885</v>
      </c>
      <c r="E12" s="253">
        <v>7581</v>
      </c>
      <c r="F12" s="259">
        <f>B12+C12+D12</f>
        <v>35138.81721077403</v>
      </c>
      <c r="G12" s="260">
        <f aca="true" t="shared" si="0" ref="G12:G17">F12/E12</f>
        <v>4.635116371293237</v>
      </c>
      <c r="H12" s="296">
        <f aca="true" t="shared" si="1" ref="H12:H18">(F12/E12)/(F$18/E$18)</f>
        <v>0.9870423950756535</v>
      </c>
      <c r="I12" s="269"/>
      <c r="J12" s="152"/>
      <c r="K12" s="392"/>
    </row>
    <row r="13" spans="1:11" ht="18.75">
      <c r="A13" s="164" t="s">
        <v>23</v>
      </c>
      <c r="B13" s="256">
        <f>'налоговый потенциал'!E4</f>
        <v>19014.909517689735</v>
      </c>
      <c r="C13" s="257">
        <f>'налоговый потенциал'!I4</f>
        <v>849.4414634146342</v>
      </c>
      <c r="D13" s="258">
        <f>'налоговый потенциал'!M4</f>
        <v>5666.601479046837</v>
      </c>
      <c r="E13" s="253">
        <v>7902</v>
      </c>
      <c r="F13" s="259">
        <f aca="true" t="shared" si="2" ref="F13:F18">B13+C13+D13</f>
        <v>25530.952460151206</v>
      </c>
      <c r="G13" s="260">
        <f t="shared" si="0"/>
        <v>3.230948172633663</v>
      </c>
      <c r="H13" s="296">
        <f t="shared" si="1"/>
        <v>0.6880264846062226</v>
      </c>
      <c r="I13" s="269"/>
      <c r="J13" s="152"/>
      <c r="K13" s="392"/>
    </row>
    <row r="14" spans="1:11" ht="18.75">
      <c r="A14" s="164" t="s">
        <v>24</v>
      </c>
      <c r="B14" s="256">
        <f>'налоговый потенциал'!E5</f>
        <v>5165.792067704701</v>
      </c>
      <c r="C14" s="257">
        <f>'налоговый потенциал'!I5</f>
        <v>380.5939024390245</v>
      </c>
      <c r="D14" s="258">
        <f>'налоговый потенциал'!M5</f>
        <v>1068.3179950698438</v>
      </c>
      <c r="E14" s="253">
        <v>3567</v>
      </c>
      <c r="F14" s="259">
        <f t="shared" si="2"/>
        <v>6614.70396521357</v>
      </c>
      <c r="G14" s="260">
        <f t="shared" si="0"/>
        <v>1.8544165868274656</v>
      </c>
      <c r="H14" s="296">
        <f t="shared" si="1"/>
        <v>0.39489575723845444</v>
      </c>
      <c r="I14" s="269"/>
      <c r="J14" s="152"/>
      <c r="K14" s="392"/>
    </row>
    <row r="15" spans="1:11" ht="18.75">
      <c r="A15" s="164" t="s">
        <v>25</v>
      </c>
      <c r="B15" s="256">
        <f>'налоговый потенциал'!E6</f>
        <v>18954.865975719615</v>
      </c>
      <c r="C15" s="257">
        <f>'налоговый потенциал'!I6</f>
        <v>153.06493902439027</v>
      </c>
      <c r="D15" s="258">
        <f>'налоговый потенциал'!M6</f>
        <v>168.7986852917009</v>
      </c>
      <c r="E15" s="253">
        <v>1267</v>
      </c>
      <c r="F15" s="259">
        <f t="shared" si="2"/>
        <v>19276.729600035706</v>
      </c>
      <c r="G15" s="260">
        <f t="shared" si="0"/>
        <v>15.214466929783509</v>
      </c>
      <c r="H15" s="296">
        <f t="shared" si="1"/>
        <v>3.239902232267553</v>
      </c>
      <c r="I15" s="269"/>
      <c r="J15" s="152"/>
      <c r="K15" s="392"/>
    </row>
    <row r="16" spans="1:11" ht="18.75">
      <c r="A16" s="164" t="s">
        <v>26</v>
      </c>
      <c r="B16" s="256">
        <f>'налоговый потенциал'!E7</f>
        <v>11356.921989579108</v>
      </c>
      <c r="C16" s="257">
        <f>'налоговый потенциал'!I7</f>
        <v>68.94817073170732</v>
      </c>
      <c r="D16" s="258">
        <f>'налоговый потенциал'!M7</f>
        <v>117.71487263763353</v>
      </c>
      <c r="E16" s="253">
        <v>1590</v>
      </c>
      <c r="F16" s="259">
        <f t="shared" si="2"/>
        <v>11543.58503294845</v>
      </c>
      <c r="G16" s="260">
        <f t="shared" si="0"/>
        <v>7.260116372923553</v>
      </c>
      <c r="H16" s="296">
        <f t="shared" si="1"/>
        <v>1.5460329534852741</v>
      </c>
      <c r="I16" s="269"/>
      <c r="J16" s="152"/>
      <c r="K16" s="392"/>
    </row>
    <row r="17" spans="1:11" ht="18.75">
      <c r="A17" s="164" t="s">
        <v>27</v>
      </c>
      <c r="B17" s="256">
        <f>'налоговый потенциал'!E8</f>
        <v>9601.071132243867</v>
      </c>
      <c r="C17" s="257">
        <f>'налоговый потенциал'!I8</f>
        <v>82.73780487804878</v>
      </c>
      <c r="D17" s="258">
        <f>'налоговый потенциал'!M8</f>
        <v>91.80279375513558</v>
      </c>
      <c r="E17" s="253">
        <v>1066</v>
      </c>
      <c r="F17" s="259">
        <f t="shared" si="2"/>
        <v>9775.611730877052</v>
      </c>
      <c r="G17" s="260">
        <f t="shared" si="0"/>
        <v>9.170367477370593</v>
      </c>
      <c r="H17" s="296">
        <f t="shared" si="1"/>
        <v>1.952818603357372</v>
      </c>
      <c r="I17" s="269"/>
      <c r="J17" s="152"/>
      <c r="K17" s="392"/>
    </row>
    <row r="18" spans="1:11" ht="18.75">
      <c r="A18" s="261" t="s">
        <v>30</v>
      </c>
      <c r="B18" s="265">
        <f>'налоговый потенциал'!E9</f>
        <v>92552.6</v>
      </c>
      <c r="C18" s="266">
        <f>'налоговый потенциал'!I9</f>
        <v>2713.8</v>
      </c>
      <c r="D18" s="267">
        <f>'налоговый потенциал'!M9</f>
        <v>12614</v>
      </c>
      <c r="E18" s="262">
        <f>SUM(E12:E17)</f>
        <v>22973</v>
      </c>
      <c r="F18" s="268">
        <f t="shared" si="2"/>
        <v>107880.40000000001</v>
      </c>
      <c r="G18" s="263">
        <f>F18/E18</f>
        <v>4.695964828276673</v>
      </c>
      <c r="H18" s="264">
        <f t="shared" si="1"/>
        <v>1</v>
      </c>
      <c r="I18" s="270"/>
      <c r="J18" s="152"/>
      <c r="K18" s="392"/>
    </row>
    <row r="19" spans="1:11" ht="12.75">
      <c r="A19" s="355"/>
      <c r="B19" s="355"/>
      <c r="C19" s="355"/>
      <c r="D19" s="64"/>
      <c r="E19" s="64"/>
      <c r="F19" s="64"/>
      <c r="G19" s="64"/>
      <c r="H19" s="85"/>
      <c r="I19" s="64"/>
      <c r="J19" s="152"/>
      <c r="K19" s="152"/>
    </row>
    <row r="20" spans="1:9" ht="12.75" hidden="1">
      <c r="A20" s="64"/>
      <c r="B20" s="64"/>
      <c r="C20" s="64"/>
      <c r="D20" s="64"/>
      <c r="E20" s="64"/>
      <c r="F20" s="64"/>
      <c r="G20" s="64"/>
      <c r="H20" s="85"/>
      <c r="I20" s="64"/>
    </row>
    <row r="21" spans="1:14" ht="18.75" hidden="1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</row>
    <row r="22" spans="1:14" ht="12.75" hidden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hidden="1">
      <c r="A23" s="238"/>
      <c r="B23" s="239"/>
      <c r="C23" s="240"/>
      <c r="D23" s="239"/>
      <c r="E23" s="241"/>
      <c r="F23" s="239"/>
      <c r="G23" s="240"/>
      <c r="H23" s="239"/>
      <c r="I23" s="241"/>
      <c r="J23" s="239"/>
      <c r="K23" s="240"/>
      <c r="L23" s="239"/>
      <c r="M23" s="241"/>
      <c r="N23" s="241"/>
    </row>
    <row r="24" spans="1:14" ht="18.75" hidden="1">
      <c r="A24" s="238"/>
      <c r="B24" s="239"/>
      <c r="C24" s="240"/>
      <c r="D24" s="239"/>
      <c r="E24" s="241"/>
      <c r="F24" s="239"/>
      <c r="G24" s="240"/>
      <c r="H24" s="239"/>
      <c r="I24" s="241"/>
      <c r="J24" s="239"/>
      <c r="K24" s="240"/>
      <c r="L24" s="239"/>
      <c r="M24" s="241"/>
      <c r="N24" s="241"/>
    </row>
    <row r="25" spans="1:14" ht="18.75" hidden="1">
      <c r="A25" s="238"/>
      <c r="B25" s="239"/>
      <c r="C25" s="240"/>
      <c r="D25" s="239"/>
      <c r="E25" s="241"/>
      <c r="F25" s="239"/>
      <c r="G25" s="240"/>
      <c r="H25" s="239"/>
      <c r="I25" s="241"/>
      <c r="J25" s="239"/>
      <c r="K25" s="240"/>
      <c r="L25" s="239"/>
      <c r="M25" s="241"/>
      <c r="N25" s="241"/>
    </row>
    <row r="26" spans="1:14" ht="18.75" hidden="1">
      <c r="A26" s="238"/>
      <c r="B26" s="239"/>
      <c r="C26" s="240"/>
      <c r="D26" s="239"/>
      <c r="E26" s="241"/>
      <c r="F26" s="239"/>
      <c r="G26" s="240"/>
      <c r="H26" s="239"/>
      <c r="I26" s="241"/>
      <c r="J26" s="239"/>
      <c r="K26" s="240"/>
      <c r="L26" s="239"/>
      <c r="M26" s="241"/>
      <c r="N26" s="241"/>
    </row>
    <row r="27" spans="1:14" ht="18.75" hidden="1">
      <c r="A27" s="238"/>
      <c r="B27" s="239"/>
      <c r="C27" s="240"/>
      <c r="D27" s="239"/>
      <c r="E27" s="241"/>
      <c r="F27" s="239"/>
      <c r="G27" s="240"/>
      <c r="H27" s="239"/>
      <c r="I27" s="241"/>
      <c r="J27" s="239"/>
      <c r="K27" s="240"/>
      <c r="L27" s="239"/>
      <c r="M27" s="241"/>
      <c r="N27" s="241"/>
    </row>
    <row r="28" spans="1:14" ht="18.75" hidden="1">
      <c r="A28" s="238"/>
      <c r="B28" s="239"/>
      <c r="C28" s="240"/>
      <c r="D28" s="239"/>
      <c r="E28" s="241"/>
      <c r="F28" s="239"/>
      <c r="G28" s="240"/>
      <c r="H28" s="239"/>
      <c r="I28" s="241"/>
      <c r="J28" s="239"/>
      <c r="K28" s="240"/>
      <c r="L28" s="239"/>
      <c r="M28" s="241"/>
      <c r="N28" s="241"/>
    </row>
    <row r="29" spans="1:14" ht="18.75" hidden="1">
      <c r="A29" s="238"/>
      <c r="B29" s="239"/>
      <c r="C29" s="240"/>
      <c r="D29" s="239"/>
      <c r="E29" s="241"/>
      <c r="F29" s="239"/>
      <c r="G29" s="240"/>
      <c r="H29" s="239"/>
      <c r="I29" s="241"/>
      <c r="J29" s="239"/>
      <c r="K29" s="240"/>
      <c r="L29" s="239"/>
      <c r="M29" s="241"/>
      <c r="N29" s="241"/>
    </row>
    <row r="30" spans="1:14" ht="18.75" hidden="1">
      <c r="A30" s="238"/>
      <c r="B30" s="239"/>
      <c r="C30" s="240"/>
      <c r="D30" s="239"/>
      <c r="E30" s="241"/>
      <c r="F30" s="239"/>
      <c r="G30" s="240"/>
      <c r="H30" s="239"/>
      <c r="I30" s="241"/>
      <c r="J30" s="239"/>
      <c r="K30" s="240"/>
      <c r="L30" s="239"/>
      <c r="M30" s="241"/>
      <c r="N30" s="241"/>
    </row>
    <row r="31" spans="1:14" ht="18.75" hidden="1">
      <c r="A31" s="238"/>
      <c r="B31" s="239"/>
      <c r="C31" s="240"/>
      <c r="D31" s="239"/>
      <c r="E31" s="241"/>
      <c r="F31" s="239"/>
      <c r="G31" s="240"/>
      <c r="H31" s="239"/>
      <c r="I31" s="241"/>
      <c r="J31" s="239"/>
      <c r="K31" s="240"/>
      <c r="L31" s="239"/>
      <c r="M31" s="241"/>
      <c r="N31" s="241"/>
    </row>
    <row r="32" spans="1:14" ht="18.75" hidden="1">
      <c r="A32" s="238"/>
      <c r="B32" s="239"/>
      <c r="C32" s="240"/>
      <c r="D32" s="239"/>
      <c r="E32" s="241"/>
      <c r="F32" s="239"/>
      <c r="G32" s="240"/>
      <c r="H32" s="239"/>
      <c r="I32" s="241"/>
      <c r="J32" s="239"/>
      <c r="K32" s="240"/>
      <c r="L32" s="239"/>
      <c r="M32" s="241"/>
      <c r="N32" s="241"/>
    </row>
    <row r="33" spans="1:14" ht="18.75" hidden="1">
      <c r="A33" s="238"/>
      <c r="B33" s="239"/>
      <c r="C33" s="240"/>
      <c r="D33" s="239"/>
      <c r="E33" s="241"/>
      <c r="F33" s="239"/>
      <c r="G33" s="240"/>
      <c r="H33" s="239"/>
      <c r="I33" s="241"/>
      <c r="J33" s="239"/>
      <c r="K33" s="240"/>
      <c r="L33" s="239"/>
      <c r="M33" s="241"/>
      <c r="N33" s="241"/>
    </row>
    <row r="34" spans="1:14" ht="18.75" hidden="1">
      <c r="A34" s="238"/>
      <c r="B34" s="239"/>
      <c r="C34" s="240"/>
      <c r="D34" s="239"/>
      <c r="E34" s="241"/>
      <c r="F34" s="239"/>
      <c r="G34" s="240"/>
      <c r="H34" s="239"/>
      <c r="I34" s="241"/>
      <c r="J34" s="239"/>
      <c r="K34" s="240"/>
      <c r="L34" s="239"/>
      <c r="M34" s="241"/>
      <c r="N34" s="241"/>
    </row>
    <row r="35" spans="1:14" ht="18.75" hidden="1">
      <c r="A35" s="238"/>
      <c r="B35" s="242"/>
      <c r="C35" s="243"/>
      <c r="D35" s="242"/>
      <c r="E35" s="243"/>
      <c r="F35" s="242"/>
      <c r="G35" s="243"/>
      <c r="H35" s="242"/>
      <c r="I35" s="243"/>
      <c r="J35" s="242"/>
      <c r="K35" s="243"/>
      <c r="L35" s="242"/>
      <c r="M35" s="243"/>
      <c r="N35" s="242"/>
    </row>
    <row r="36" spans="1:9" ht="12.75" hidden="1">
      <c r="A36" s="64"/>
      <c r="B36" s="64"/>
      <c r="C36" s="64"/>
      <c r="D36" s="64"/>
      <c r="E36" s="64"/>
      <c r="F36" s="64"/>
      <c r="G36" s="64"/>
      <c r="H36" s="85"/>
      <c r="I36" s="64"/>
    </row>
    <row r="37" spans="1:9" ht="12.75" hidden="1">
      <c r="A37" s="64"/>
      <c r="B37" s="64"/>
      <c r="C37" s="64"/>
      <c r="D37" s="64"/>
      <c r="E37" s="64"/>
      <c r="F37" s="64"/>
      <c r="G37" s="64"/>
      <c r="H37" s="85"/>
      <c r="I37" s="64"/>
    </row>
    <row r="38" spans="1:9" ht="12.75" hidden="1">
      <c r="A38" s="64"/>
      <c r="B38" s="64"/>
      <c r="C38" s="64"/>
      <c r="D38" s="64"/>
      <c r="E38" s="64"/>
      <c r="F38" s="64"/>
      <c r="G38" s="64"/>
      <c r="H38" s="85"/>
      <c r="I38" s="64"/>
    </row>
    <row r="39" spans="1:9" ht="12.75" hidden="1">
      <c r="A39" s="64"/>
      <c r="B39" s="64"/>
      <c r="C39" s="64"/>
      <c r="D39" s="64"/>
      <c r="E39" s="64"/>
      <c r="F39" s="64"/>
      <c r="G39" s="64"/>
      <c r="H39" s="85"/>
      <c r="I39" s="64"/>
    </row>
    <row r="40" spans="1:9" ht="12.75" hidden="1">
      <c r="A40" s="64"/>
      <c r="B40" s="64"/>
      <c r="C40" s="64"/>
      <c r="D40" s="64"/>
      <c r="E40" s="64"/>
      <c r="F40" s="64"/>
      <c r="G40" s="64"/>
      <c r="H40" s="85"/>
      <c r="I40" s="64"/>
    </row>
    <row r="41" spans="1:9" ht="12.75" hidden="1">
      <c r="A41" s="64"/>
      <c r="B41" s="64"/>
      <c r="C41" s="64"/>
      <c r="D41" s="64"/>
      <c r="E41" s="64"/>
      <c r="F41" s="64"/>
      <c r="G41" s="64"/>
      <c r="H41" s="85"/>
      <c r="I41" s="64"/>
    </row>
    <row r="42" spans="1:9" ht="12.75" hidden="1">
      <c r="A42" s="64"/>
      <c r="B42" s="64"/>
      <c r="C42" s="64"/>
      <c r="D42" s="64"/>
      <c r="E42" s="64"/>
      <c r="F42" s="64"/>
      <c r="G42" s="64"/>
      <c r="H42" s="85"/>
      <c r="I42" s="64"/>
    </row>
    <row r="43" ht="12.75" hidden="1"/>
    <row r="45" spans="1:9" ht="15.75">
      <c r="A45" s="6"/>
      <c r="B45" s="44" t="s">
        <v>75</v>
      </c>
      <c r="C45" s="45"/>
      <c r="D45" s="45"/>
      <c r="E45" s="46"/>
      <c r="F45" s="5"/>
      <c r="G45" s="5"/>
      <c r="H45" s="5"/>
      <c r="I45" s="5"/>
    </row>
    <row r="46" ht="13.5" thickBot="1"/>
    <row r="47" spans="1:9" ht="63">
      <c r="A47" s="360" t="s">
        <v>0</v>
      </c>
      <c r="B47" s="185" t="s">
        <v>14</v>
      </c>
      <c r="C47" s="185" t="s">
        <v>35</v>
      </c>
      <c r="D47" s="185" t="s">
        <v>29</v>
      </c>
      <c r="E47" s="353" t="s">
        <v>11</v>
      </c>
      <c r="F47" s="362" t="s">
        <v>86</v>
      </c>
      <c r="G47" s="356" t="s">
        <v>87</v>
      </c>
      <c r="H47" s="356" t="s">
        <v>88</v>
      </c>
      <c r="I47" s="364"/>
    </row>
    <row r="48" spans="1:9" ht="32.25" customHeight="1" thickBot="1">
      <c r="A48" s="361"/>
      <c r="B48" s="357" t="s">
        <v>85</v>
      </c>
      <c r="C48" s="358"/>
      <c r="D48" s="359"/>
      <c r="E48" s="354"/>
      <c r="F48" s="363"/>
      <c r="G48" s="356"/>
      <c r="H48" s="356"/>
      <c r="I48" s="364"/>
    </row>
    <row r="49" spans="1:9" ht="18.75">
      <c r="A49" s="186" t="s">
        <v>22</v>
      </c>
      <c r="B49" s="187">
        <f>'налоговый потенциал'!E14</f>
        <v>28459.039317062987</v>
      </c>
      <c r="C49" s="187">
        <f>'налоговый потенциал'!I14</f>
        <v>1206.4275914634147</v>
      </c>
      <c r="D49" s="188">
        <f>'налоговый потенциал'!M14</f>
        <v>5579.695386782486</v>
      </c>
      <c r="E49" s="253">
        <v>7581</v>
      </c>
      <c r="F49" s="273">
        <f aca="true" t="shared" si="3" ref="F49:F54">B49+C49+D49</f>
        <v>35245.16229530889</v>
      </c>
      <c r="G49" s="188">
        <f aca="true" t="shared" si="4" ref="G49:G54">F49/E49</f>
        <v>4.649144215183866</v>
      </c>
      <c r="H49" s="296">
        <f>(F49/E49)/(F$55/E$55)</f>
        <v>0.9877945336664581</v>
      </c>
      <c r="I49" s="269"/>
    </row>
    <row r="50" spans="1:9" ht="18.75">
      <c r="A50" s="164" t="s">
        <v>23</v>
      </c>
      <c r="B50" s="187">
        <f>'налоговый потенциал'!E15</f>
        <v>19014.909517689735</v>
      </c>
      <c r="C50" s="187">
        <f>'налоговый потенциал'!I15</f>
        <v>869.1922764227642</v>
      </c>
      <c r="D50" s="188">
        <f>'налоговый потенциал'!M15</f>
        <v>5747.912313651837</v>
      </c>
      <c r="E50" s="253">
        <v>7902</v>
      </c>
      <c r="F50" s="273">
        <f t="shared" si="3"/>
        <v>25632.014107764335</v>
      </c>
      <c r="G50" s="188">
        <f t="shared" si="4"/>
        <v>3.2437375484389186</v>
      </c>
      <c r="H50" s="296">
        <f aca="true" t="shared" si="5" ref="H50:H55">(F50/E50)/(F$55/E$55)</f>
        <v>0.6891905414618081</v>
      </c>
      <c r="I50" s="269"/>
    </row>
    <row r="51" spans="1:9" ht="18.75">
      <c r="A51" s="164" t="s">
        <v>24</v>
      </c>
      <c r="B51" s="187">
        <f>'налоговый потенциал'!E16</f>
        <v>5165.792067704701</v>
      </c>
      <c r="C51" s="187">
        <f>'налоговый потенциал'!I16</f>
        <v>389.4432926829269</v>
      </c>
      <c r="D51" s="188">
        <f>'налоговый потенциал'!M16</f>
        <v>1083.6474351449701</v>
      </c>
      <c r="E51" s="253">
        <v>3567</v>
      </c>
      <c r="F51" s="273">
        <f t="shared" si="3"/>
        <v>6638.882795532598</v>
      </c>
      <c r="G51" s="188">
        <f t="shared" si="4"/>
        <v>1.8611950646292676</v>
      </c>
      <c r="H51" s="296">
        <f t="shared" si="5"/>
        <v>0.39544445726665245</v>
      </c>
      <c r="I51" s="269"/>
    </row>
    <row r="52" spans="1:9" ht="18.75">
      <c r="A52" s="164" t="s">
        <v>25</v>
      </c>
      <c r="B52" s="187">
        <f>'налоговый потенциал'!E17</f>
        <v>18954.865975719615</v>
      </c>
      <c r="C52" s="187">
        <f>'налоговый потенциал'!I17</f>
        <v>156.62393292682927</v>
      </c>
      <c r="D52" s="188">
        <f>'налоговый потенциал'!M17</f>
        <v>171.2208005634464</v>
      </c>
      <c r="E52" s="253">
        <v>1267</v>
      </c>
      <c r="F52" s="273">
        <f t="shared" si="3"/>
        <v>19282.71070920989</v>
      </c>
      <c r="G52" s="188">
        <f t="shared" si="4"/>
        <v>15.219187615793125</v>
      </c>
      <c r="H52" s="296">
        <f t="shared" si="5"/>
        <v>3.233590879935772</v>
      </c>
      <c r="I52" s="269"/>
    </row>
    <row r="53" spans="1:9" ht="18.75">
      <c r="A53" s="164" t="s">
        <v>26</v>
      </c>
      <c r="B53" s="187">
        <f>'налоговый потенциал'!E18</f>
        <v>11356.921989579108</v>
      </c>
      <c r="C53" s="187">
        <f>'налоговый потенциал'!I18</f>
        <v>70.55132113821138</v>
      </c>
      <c r="D53" s="188">
        <f>'налоговый потенциал'!M18</f>
        <v>119.40397934029816</v>
      </c>
      <c r="E53" s="253">
        <v>1590</v>
      </c>
      <c r="F53" s="273">
        <f t="shared" si="3"/>
        <v>11546.877290057619</v>
      </c>
      <c r="G53" s="188">
        <f t="shared" si="4"/>
        <v>7.262186974879006</v>
      </c>
      <c r="H53" s="296">
        <f t="shared" si="5"/>
        <v>1.5429825929728727</v>
      </c>
      <c r="I53" s="269"/>
    </row>
    <row r="54" spans="1:9" ht="18.75">
      <c r="A54" s="164" t="s">
        <v>27</v>
      </c>
      <c r="B54" s="187">
        <f>'налоговый потенциал'!E19</f>
        <v>9601.071132243867</v>
      </c>
      <c r="C54" s="187">
        <f>'налоговый потенциал'!I19</f>
        <v>84.66158536585365</v>
      </c>
      <c r="D54" s="188">
        <f>'налоговый потенциал'!M19</f>
        <v>93.12008451696208</v>
      </c>
      <c r="E54" s="253">
        <v>1066</v>
      </c>
      <c r="F54" s="273">
        <f t="shared" si="3"/>
        <v>9778.852802126683</v>
      </c>
      <c r="G54" s="188">
        <f t="shared" si="4"/>
        <v>9.173407881919966</v>
      </c>
      <c r="H54" s="296">
        <f t="shared" si="5"/>
        <v>1.9490559426526581</v>
      </c>
      <c r="I54" s="269"/>
    </row>
    <row r="55" spans="1:9" ht="18.75">
      <c r="A55" s="37" t="s">
        <v>30</v>
      </c>
      <c r="B55" s="61">
        <f>SUM(B49:B54)</f>
        <v>92552.6</v>
      </c>
      <c r="C55" s="61">
        <f>SUM(C49:C54)</f>
        <v>2776.8999999999996</v>
      </c>
      <c r="D55" s="61">
        <f>SUM(D49:D54)</f>
        <v>12795.000000000002</v>
      </c>
      <c r="E55" s="38">
        <f>SUM(E49:E54)</f>
        <v>22973</v>
      </c>
      <c r="F55" s="274">
        <f>SUM(F49:F54)</f>
        <v>108124.50000000001</v>
      </c>
      <c r="G55" s="39">
        <f>F55/E55</f>
        <v>4.70659034518783</v>
      </c>
      <c r="H55" s="297">
        <f t="shared" si="5"/>
        <v>1</v>
      </c>
      <c r="I55" s="272"/>
    </row>
    <row r="56" spans="1:9" ht="12.75">
      <c r="A56" s="355"/>
      <c r="B56" s="355"/>
      <c r="C56" s="355"/>
      <c r="G56" s="152"/>
      <c r="H56" s="152"/>
      <c r="I56" s="152"/>
    </row>
    <row r="57" spans="7:9" ht="12.75">
      <c r="G57" s="152"/>
      <c r="H57" s="152"/>
      <c r="I57" s="152"/>
    </row>
    <row r="58" spans="7:9" ht="12.75">
      <c r="G58" s="152"/>
      <c r="H58" s="152"/>
      <c r="I58" s="152"/>
    </row>
    <row r="59" spans="1:9" ht="15.75">
      <c r="A59" s="6"/>
      <c r="B59" s="44" t="s">
        <v>108</v>
      </c>
      <c r="C59" s="45"/>
      <c r="D59" s="45"/>
      <c r="E59" s="46"/>
      <c r="F59" s="5"/>
      <c r="G59" s="271"/>
      <c r="H59" s="271"/>
      <c r="I59" s="271"/>
    </row>
    <row r="60" spans="7:9" ht="13.5" thickBot="1">
      <c r="G60" s="152"/>
      <c r="H60" s="152"/>
      <c r="I60" s="152"/>
    </row>
    <row r="61" spans="1:9" ht="63">
      <c r="A61" s="360" t="s">
        <v>0</v>
      </c>
      <c r="B61" s="185" t="s">
        <v>14</v>
      </c>
      <c r="C61" s="185" t="s">
        <v>35</v>
      </c>
      <c r="D61" s="185" t="s">
        <v>29</v>
      </c>
      <c r="E61" s="353" t="s">
        <v>11</v>
      </c>
      <c r="F61" s="362" t="s">
        <v>111</v>
      </c>
      <c r="G61" s="356" t="s">
        <v>112</v>
      </c>
      <c r="H61" s="356" t="s">
        <v>113</v>
      </c>
      <c r="I61" s="364"/>
    </row>
    <row r="62" spans="1:9" ht="32.25" customHeight="1" thickBot="1">
      <c r="A62" s="361"/>
      <c r="B62" s="357" t="s">
        <v>110</v>
      </c>
      <c r="C62" s="358"/>
      <c r="D62" s="359"/>
      <c r="E62" s="354"/>
      <c r="F62" s="363"/>
      <c r="G62" s="356"/>
      <c r="H62" s="356"/>
      <c r="I62" s="364"/>
    </row>
    <row r="63" spans="1:9" ht="18.75">
      <c r="A63" s="186" t="s">
        <v>22</v>
      </c>
      <c r="B63" s="187">
        <f>'налоговый потенциал'!E25</f>
        <v>28459.039317062987</v>
      </c>
      <c r="C63" s="187">
        <f>'налоговый потенциал'!I25</f>
        <v>1234.7972560975609</v>
      </c>
      <c r="D63" s="188">
        <f>'налоговый потенциал'!M25</f>
        <v>5656.446179129006</v>
      </c>
      <c r="E63" s="253">
        <v>7581</v>
      </c>
      <c r="F63" s="275">
        <f aca="true" t="shared" si="6" ref="F63:F68">B63+C63+D63</f>
        <v>35350.28275228955</v>
      </c>
      <c r="G63" s="321">
        <f aca="true" t="shared" si="7" ref="G63:G68">F63/E63</f>
        <v>4.6630105200223655</v>
      </c>
      <c r="H63" s="321">
        <f aca="true" t="shared" si="8" ref="H63:H69">(F63/E63)/(F$69/E$69)</f>
        <v>1.0082856669589517</v>
      </c>
      <c r="I63" s="269"/>
    </row>
    <row r="64" spans="1:9" ht="18.75">
      <c r="A64" s="164" t="s">
        <v>23</v>
      </c>
      <c r="B64" s="187">
        <f>'налоговый потенциал'!E26</f>
        <v>19014.909517689735</v>
      </c>
      <c r="C64" s="187">
        <f>'налоговый потенциал'!I26</f>
        <v>889.631707317073</v>
      </c>
      <c r="D64" s="188">
        <f>1717+2130</f>
        <v>3847</v>
      </c>
      <c r="E64" s="253">
        <v>7902</v>
      </c>
      <c r="F64" s="273">
        <f t="shared" si="6"/>
        <v>23751.541225006808</v>
      </c>
      <c r="G64" s="321">
        <f t="shared" si="7"/>
        <v>3.005763252974792</v>
      </c>
      <c r="H64" s="321">
        <f t="shared" si="8"/>
        <v>0.6499380589499207</v>
      </c>
      <c r="I64" s="269"/>
    </row>
    <row r="65" spans="1:9" ht="18.75">
      <c r="A65" s="164" t="s">
        <v>24</v>
      </c>
      <c r="B65" s="187">
        <f>'налоговый потенциал'!E27</f>
        <v>5165.792067704701</v>
      </c>
      <c r="C65" s="187">
        <f>'налоговый потенциал'!I27</f>
        <v>398.60121951219514</v>
      </c>
      <c r="D65" s="188">
        <f>640.9+342</f>
        <v>982.9</v>
      </c>
      <c r="E65" s="253">
        <v>3567</v>
      </c>
      <c r="F65" s="273">
        <f t="shared" si="6"/>
        <v>6547.293287216896</v>
      </c>
      <c r="G65" s="321">
        <f t="shared" si="7"/>
        <v>1.83551816294278</v>
      </c>
      <c r="H65" s="321">
        <f t="shared" si="8"/>
        <v>0.39689523478260436</v>
      </c>
      <c r="I65" s="269"/>
    </row>
    <row r="66" spans="1:9" ht="18.75">
      <c r="A66" s="164" t="s">
        <v>25</v>
      </c>
      <c r="B66" s="187">
        <f>'налоговый потенциал'!E28</f>
        <v>18954.865975719615</v>
      </c>
      <c r="C66" s="187">
        <f>'налоговый потенциал'!I28</f>
        <v>160.30701219512196</v>
      </c>
      <c r="D66" s="188">
        <f>169.9+104</f>
        <v>273.9</v>
      </c>
      <c r="E66" s="253">
        <v>1267</v>
      </c>
      <c r="F66" s="273">
        <f t="shared" si="6"/>
        <v>19389.072987914737</v>
      </c>
      <c r="G66" s="321">
        <f t="shared" si="7"/>
        <v>15.303135744210525</v>
      </c>
      <c r="H66" s="321">
        <f t="shared" si="8"/>
        <v>3.3090065665004498</v>
      </c>
      <c r="I66" s="269"/>
    </row>
    <row r="67" spans="1:9" ht="18.75">
      <c r="A67" s="164" t="s">
        <v>26</v>
      </c>
      <c r="B67" s="187">
        <f>'налоговый потенциал'!E29</f>
        <v>11356.921989579108</v>
      </c>
      <c r="C67" s="187">
        <f>'налоговый потенциал'!I29</f>
        <v>72.21036585365853</v>
      </c>
      <c r="D67" s="188">
        <f>36+16</f>
        <v>52</v>
      </c>
      <c r="E67" s="253">
        <v>1590</v>
      </c>
      <c r="F67" s="273">
        <f t="shared" si="6"/>
        <v>11481.132355432766</v>
      </c>
      <c r="G67" s="321">
        <f t="shared" si="7"/>
        <v>7.220837959391677</v>
      </c>
      <c r="H67" s="321">
        <f t="shared" si="8"/>
        <v>1.5613662861418618</v>
      </c>
      <c r="I67" s="269"/>
    </row>
    <row r="68" spans="1:9" ht="18.75">
      <c r="A68" s="164" t="s">
        <v>27</v>
      </c>
      <c r="B68" s="187">
        <f>'налоговый потенциал'!E30</f>
        <v>9601.071132243867</v>
      </c>
      <c r="C68" s="187">
        <f>'налоговый потенциал'!I30</f>
        <v>86.65243902439023</v>
      </c>
      <c r="D68" s="188">
        <f>11+25</f>
        <v>36</v>
      </c>
      <c r="E68" s="253">
        <v>1066</v>
      </c>
      <c r="F68" s="273">
        <f t="shared" si="6"/>
        <v>9723.723571268258</v>
      </c>
      <c r="G68" s="321">
        <f t="shared" si="7"/>
        <v>9.121691905504932</v>
      </c>
      <c r="H68" s="321">
        <f t="shared" si="8"/>
        <v>1.9723891179838038</v>
      </c>
      <c r="I68" s="269"/>
    </row>
    <row r="69" spans="1:9" ht="18.75">
      <c r="A69" s="37" t="s">
        <v>30</v>
      </c>
      <c r="B69" s="61">
        <f>SUM(B63:B68)</f>
        <v>92552.6</v>
      </c>
      <c r="C69" s="61">
        <f>SUM(C63:C68)</f>
        <v>2842.2</v>
      </c>
      <c r="D69" s="61">
        <f>SUM(D63:D68)</f>
        <v>10848.246179129004</v>
      </c>
      <c r="E69" s="38">
        <f>SUM(E63:E68)</f>
        <v>22973</v>
      </c>
      <c r="F69" s="274">
        <f>SUM(F63:F68)</f>
        <v>106243.04617912901</v>
      </c>
      <c r="G69" s="322">
        <f>F69/E69</f>
        <v>4.624691863454012</v>
      </c>
      <c r="H69" s="323">
        <f t="shared" si="8"/>
        <v>1</v>
      </c>
      <c r="I69" s="272"/>
    </row>
    <row r="70" spans="1:3" ht="12.75">
      <c r="A70" s="355"/>
      <c r="B70" s="355"/>
      <c r="C70" s="355"/>
    </row>
  </sheetData>
  <sheetProtection/>
  <mergeCells count="25">
    <mergeCell ref="A70:C70"/>
    <mergeCell ref="H10:H11"/>
    <mergeCell ref="A61:A62"/>
    <mergeCell ref="E61:E62"/>
    <mergeCell ref="A10:A11"/>
    <mergeCell ref="B11:D11"/>
    <mergeCell ref="A19:C19"/>
    <mergeCell ref="E10:E11"/>
    <mergeCell ref="F47:F48"/>
    <mergeCell ref="A21:N21"/>
    <mergeCell ref="I10:I11"/>
    <mergeCell ref="H61:H62"/>
    <mergeCell ref="G10:G11"/>
    <mergeCell ref="I47:I48"/>
    <mergeCell ref="G47:G48"/>
    <mergeCell ref="G61:G62"/>
    <mergeCell ref="I61:I62"/>
    <mergeCell ref="F10:F11"/>
    <mergeCell ref="A56:C56"/>
    <mergeCell ref="H47:H48"/>
    <mergeCell ref="B48:D48"/>
    <mergeCell ref="B62:D62"/>
    <mergeCell ref="A47:A48"/>
    <mergeCell ref="F61:F62"/>
    <mergeCell ref="E47:E48"/>
  </mergeCells>
  <printOptions/>
  <pageMargins left="0" right="0" top="0" bottom="0" header="0" footer="0"/>
  <pageSetup fitToHeight="1" fitToWidth="1" horizontalDpi="600" verticalDpi="600" orientation="landscape" paperSize="9" scale="56" r:id="rId1"/>
  <headerFooter alignWithMargins="0">
    <oddFooter>&amp;CСтраница 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61"/>
  <sheetViews>
    <sheetView zoomScale="75" zoomScaleNormal="75" zoomScalePageLayoutView="0" workbookViewId="0" topLeftCell="B3">
      <selection activeCell="C50" sqref="C50"/>
    </sheetView>
  </sheetViews>
  <sheetFormatPr defaultColWidth="9.00390625" defaultRowHeight="12.75"/>
  <cols>
    <col min="1" max="1" width="9.125" style="7" hidden="1" customWidth="1"/>
    <col min="2" max="2" width="68.125" style="7" customWidth="1"/>
    <col min="3" max="3" width="15.625" style="7" customWidth="1"/>
    <col min="4" max="4" width="16.125" style="7" customWidth="1"/>
    <col min="5" max="5" width="16.375" style="7" customWidth="1"/>
    <col min="6" max="6" width="17.125" style="7" customWidth="1"/>
    <col min="7" max="7" width="12.625" style="7" customWidth="1"/>
    <col min="8" max="8" width="10.125" style="7" customWidth="1"/>
    <col min="9" max="9" width="11.00390625" style="7" customWidth="1"/>
    <col min="10" max="10" width="11.875" style="7" customWidth="1"/>
    <col min="11" max="16384" width="9.125" style="7" customWidth="1"/>
  </cols>
  <sheetData>
    <row r="1" ht="15.75">
      <c r="B1" s="108"/>
    </row>
    <row r="2" spans="2:10" ht="21.75" customHeight="1">
      <c r="B2" s="92"/>
      <c r="C2" s="92"/>
      <c r="D2" s="93"/>
      <c r="E2" s="93"/>
      <c r="F2" s="93"/>
      <c r="G2" s="8"/>
      <c r="H2" s="8"/>
      <c r="I2" s="8"/>
      <c r="J2" s="8"/>
    </row>
    <row r="3" spans="2:10" ht="22.5" customHeight="1">
      <c r="B3" s="98"/>
      <c r="C3" s="99"/>
      <c r="D3" s="99"/>
      <c r="E3" s="109"/>
      <c r="F3" s="8"/>
      <c r="G3" s="8"/>
      <c r="H3" s="8"/>
      <c r="I3" s="8"/>
      <c r="J3" s="8"/>
    </row>
    <row r="4" spans="2:10" ht="40.5" customHeight="1" hidden="1">
      <c r="B4" s="98"/>
      <c r="C4" s="100"/>
      <c r="D4" s="100"/>
      <c r="E4" s="100"/>
      <c r="F4" s="100"/>
      <c r="G4" s="8"/>
      <c r="H4" s="8"/>
      <c r="I4" s="8"/>
      <c r="J4" s="8"/>
    </row>
    <row r="5" spans="2:10" ht="48" customHeight="1" hidden="1">
      <c r="B5" s="98"/>
      <c r="C5" s="100"/>
      <c r="D5" s="110"/>
      <c r="E5" s="110"/>
      <c r="F5" s="110"/>
      <c r="G5" s="8"/>
      <c r="H5" s="8"/>
      <c r="I5" s="8"/>
      <c r="J5" s="8"/>
    </row>
    <row r="6" spans="2:10" ht="15" hidden="1">
      <c r="B6" s="8"/>
      <c r="C6" s="8"/>
      <c r="D6" s="8"/>
      <c r="E6" s="8"/>
      <c r="F6" s="8"/>
      <c r="G6" s="8"/>
      <c r="H6" s="8"/>
      <c r="I6" s="8"/>
      <c r="J6" s="8"/>
    </row>
    <row r="7" spans="2:10" ht="25.5" customHeight="1" hidden="1">
      <c r="B7" s="366"/>
      <c r="C7" s="366"/>
      <c r="D7" s="19"/>
      <c r="E7" s="8"/>
      <c r="F7" s="8"/>
      <c r="G7" s="8"/>
      <c r="H7" s="8"/>
      <c r="I7" s="8"/>
      <c r="J7" s="8"/>
    </row>
    <row r="8" spans="2:10" ht="20.25" customHeight="1" hidden="1">
      <c r="B8" s="8"/>
      <c r="C8" s="20"/>
      <c r="D8" s="20"/>
      <c r="E8" s="8"/>
      <c r="F8" s="8"/>
      <c r="G8" s="8"/>
      <c r="H8" s="8"/>
      <c r="I8" s="8"/>
      <c r="J8" s="8"/>
    </row>
    <row r="9" spans="2:10" ht="22.5" customHeight="1" hidden="1">
      <c r="B9" s="8"/>
      <c r="C9" s="20"/>
      <c r="D9" s="20"/>
      <c r="E9" s="8"/>
      <c r="F9" s="8"/>
      <c r="G9" s="8"/>
      <c r="H9" s="8"/>
      <c r="I9" s="8"/>
      <c r="J9" s="8"/>
    </row>
    <row r="10" spans="2:10" ht="20.25" customHeight="1" hidden="1">
      <c r="B10" s="56"/>
      <c r="C10" s="20"/>
      <c r="D10" s="20"/>
      <c r="E10" s="8"/>
      <c r="F10" s="8"/>
      <c r="G10" s="8"/>
      <c r="H10" s="8"/>
      <c r="I10" s="8"/>
      <c r="J10" s="8"/>
    </row>
    <row r="11" spans="2:10" ht="15" hidden="1">
      <c r="B11" s="8"/>
      <c r="C11" s="8"/>
      <c r="D11" s="20"/>
      <c r="E11" s="8"/>
      <c r="F11" s="8"/>
      <c r="G11" s="8"/>
      <c r="H11" s="8"/>
      <c r="I11" s="8"/>
      <c r="J11" s="8"/>
    </row>
    <row r="12" spans="2:11" ht="37.5" customHeight="1" hidden="1">
      <c r="B12" s="366"/>
      <c r="C12" s="366"/>
      <c r="D12" s="19"/>
      <c r="E12" s="93"/>
      <c r="F12" s="111"/>
      <c r="G12" s="111"/>
      <c r="H12" s="112"/>
      <c r="I12" s="112"/>
      <c r="J12" s="112"/>
      <c r="K12" s="8"/>
    </row>
    <row r="13" spans="2:11" ht="30" customHeight="1" hidden="1">
      <c r="B13" s="89"/>
      <c r="C13" s="21"/>
      <c r="D13" s="89"/>
      <c r="E13" s="90"/>
      <c r="F13" s="55"/>
      <c r="G13" s="55"/>
      <c r="H13" s="53"/>
      <c r="I13" s="53"/>
      <c r="J13" s="53"/>
      <c r="K13" s="8"/>
    </row>
    <row r="14" spans="2:11" ht="15.75" hidden="1">
      <c r="B14" s="89"/>
      <c r="C14" s="21"/>
      <c r="D14" s="89"/>
      <c r="E14" s="90"/>
      <c r="F14" s="55"/>
      <c r="G14" s="55"/>
      <c r="H14" s="53"/>
      <c r="I14" s="53"/>
      <c r="J14" s="53"/>
      <c r="K14" s="8"/>
    </row>
    <row r="15" spans="2:11" ht="31.5" customHeight="1" hidden="1">
      <c r="B15" s="89"/>
      <c r="C15" s="21"/>
      <c r="D15" s="89"/>
      <c r="E15" s="90"/>
      <c r="F15" s="55"/>
      <c r="G15" s="55"/>
      <c r="H15" s="53"/>
      <c r="I15" s="53"/>
      <c r="J15" s="53"/>
      <c r="K15" s="8"/>
    </row>
    <row r="16" spans="2:11" ht="15.75" hidden="1">
      <c r="B16" s="57"/>
      <c r="C16" s="21"/>
      <c r="D16" s="58"/>
      <c r="E16" s="59"/>
      <c r="F16" s="54"/>
      <c r="G16" s="54"/>
      <c r="H16" s="54"/>
      <c r="I16" s="54"/>
      <c r="J16" s="54"/>
      <c r="K16" s="8"/>
    </row>
    <row r="17" spans="2:11" ht="15" hidden="1">
      <c r="B17" s="60"/>
      <c r="C17" s="21"/>
      <c r="D17" s="21"/>
      <c r="E17" s="8"/>
      <c r="F17" s="8"/>
      <c r="G17" s="8"/>
      <c r="H17" s="8"/>
      <c r="I17" s="8"/>
      <c r="J17" s="8"/>
      <c r="K17" s="8"/>
    </row>
    <row r="18" spans="2:6" ht="15.75" hidden="1">
      <c r="B18" s="91"/>
      <c r="C18" s="8"/>
      <c r="D18" s="92"/>
      <c r="E18" s="93"/>
      <c r="F18" s="93"/>
    </row>
    <row r="19" spans="2:6" ht="15" hidden="1">
      <c r="B19" s="94"/>
      <c r="C19" s="95"/>
      <c r="D19" s="96"/>
      <c r="E19" s="95"/>
      <c r="F19" s="95"/>
    </row>
    <row r="20" spans="2:6" ht="15" hidden="1">
      <c r="B20" s="94"/>
      <c r="C20" s="95"/>
      <c r="D20" s="95"/>
      <c r="E20" s="95"/>
      <c r="F20" s="95"/>
    </row>
    <row r="21" spans="2:6" ht="15" hidden="1">
      <c r="B21" s="8"/>
      <c r="C21" s="8"/>
      <c r="D21" s="8"/>
      <c r="E21" s="8"/>
      <c r="F21" s="8"/>
    </row>
    <row r="22" spans="2:6" ht="15" hidden="1">
      <c r="B22" s="8"/>
      <c r="C22" s="97"/>
      <c r="D22" s="97"/>
      <c r="E22" s="97"/>
      <c r="F22" s="97"/>
    </row>
    <row r="23" ht="15" hidden="1"/>
    <row r="24" ht="15">
      <c r="E24" s="113"/>
    </row>
    <row r="25" ht="6" customHeight="1" thickBot="1">
      <c r="E25" s="113"/>
    </row>
    <row r="26" spans="2:6" ht="30.75" customHeight="1">
      <c r="B26" s="369" t="s">
        <v>44</v>
      </c>
      <c r="C26" s="370"/>
      <c r="D26" s="370"/>
      <c r="E26" s="370"/>
      <c r="F26" s="371"/>
    </row>
    <row r="27" spans="2:6" ht="15.75">
      <c r="B27" s="158"/>
      <c r="C27" s="159" t="s">
        <v>46</v>
      </c>
      <c r="D27" s="160" t="s">
        <v>70</v>
      </c>
      <c r="E27" s="160" t="s">
        <v>71</v>
      </c>
      <c r="F27" s="161" t="s">
        <v>114</v>
      </c>
    </row>
    <row r="28" spans="2:6" ht="45" customHeight="1">
      <c r="B28" s="162" t="s">
        <v>8</v>
      </c>
      <c r="C28" s="276">
        <v>0</v>
      </c>
      <c r="D28" s="277">
        <v>0</v>
      </c>
      <c r="E28" s="277">
        <v>0</v>
      </c>
      <c r="F28" s="278">
        <v>0</v>
      </c>
    </row>
    <row r="29" spans="2:6" ht="24.75" customHeight="1">
      <c r="B29" s="163" t="s">
        <v>64</v>
      </c>
      <c r="C29" s="279">
        <v>50088</v>
      </c>
      <c r="D29" s="279">
        <v>43527</v>
      </c>
      <c r="E29" s="279">
        <v>35840.9</v>
      </c>
      <c r="F29" s="337">
        <v>40151</v>
      </c>
    </row>
    <row r="30" spans="2:6" ht="21.75" customHeight="1">
      <c r="B30" s="232"/>
      <c r="C30" s="279"/>
      <c r="D30" s="280"/>
      <c r="E30" s="280"/>
      <c r="F30" s="280"/>
    </row>
    <row r="31" spans="2:6" ht="18.75">
      <c r="B31" s="233" t="s">
        <v>79</v>
      </c>
      <c r="C31" s="324">
        <v>0.01049</v>
      </c>
      <c r="D31" s="325"/>
      <c r="E31" s="325"/>
      <c r="F31" s="325"/>
    </row>
    <row r="32" spans="2:6" ht="51.75" customHeight="1">
      <c r="B32" s="367" t="s">
        <v>41</v>
      </c>
      <c r="C32" s="368"/>
      <c r="D32" s="165"/>
      <c r="E32" s="160" t="s">
        <v>46</v>
      </c>
      <c r="F32" s="166">
        <f>F33+F34+F35</f>
        <v>432299.89999999997</v>
      </c>
    </row>
    <row r="33" spans="2:6" ht="37.5">
      <c r="B33" s="320" t="s">
        <v>49</v>
      </c>
      <c r="C33" s="318"/>
      <c r="D33" s="319"/>
      <c r="E33" s="168">
        <f>F33/F32*100%</f>
        <v>0.00319037779097335</v>
      </c>
      <c r="F33" s="281">
        <v>1379.2</v>
      </c>
    </row>
    <row r="34" spans="2:6" ht="42" customHeight="1">
      <c r="B34" s="169" t="s">
        <v>50</v>
      </c>
      <c r="C34" s="170"/>
      <c r="D34" s="167"/>
      <c r="E34" s="168">
        <f>F34/F32*100%</f>
        <v>0.29326770605313585</v>
      </c>
      <c r="F34" s="281">
        <v>126779.6</v>
      </c>
    </row>
    <row r="35" spans="2:6" ht="18.75">
      <c r="B35" s="164" t="s">
        <v>51</v>
      </c>
      <c r="C35" s="170"/>
      <c r="D35" s="167"/>
      <c r="E35" s="168">
        <f>F35/F32*100%</f>
        <v>0.7035419161558909</v>
      </c>
      <c r="F35" s="281">
        <v>304141.1</v>
      </c>
    </row>
    <row r="36" spans="2:6" ht="18.75">
      <c r="B36" s="171"/>
      <c r="C36" s="164"/>
      <c r="D36" s="160" t="s">
        <v>70</v>
      </c>
      <c r="E36" s="160" t="s">
        <v>71</v>
      </c>
      <c r="F36" s="161" t="s">
        <v>114</v>
      </c>
    </row>
    <row r="37" spans="2:6" ht="55.5" customHeight="1">
      <c r="B37" s="172" t="s">
        <v>63</v>
      </c>
      <c r="C37" s="173">
        <f>C38+C39</f>
        <v>180296</v>
      </c>
      <c r="D37" s="173">
        <f>D38+D39</f>
        <v>171793.9</v>
      </c>
      <c r="E37" s="173">
        <f>E38+E39</f>
        <v>164107.8</v>
      </c>
      <c r="F37" s="173">
        <f>F38+F39</f>
        <v>168417.9</v>
      </c>
    </row>
    <row r="38" spans="2:6" ht="37.5">
      <c r="B38" s="174" t="s">
        <v>68</v>
      </c>
      <c r="C38" s="282">
        <v>39212.2</v>
      </c>
      <c r="D38" s="280">
        <v>40011.5</v>
      </c>
      <c r="E38" s="280">
        <v>40011.5</v>
      </c>
      <c r="F38" s="283">
        <v>40011.5</v>
      </c>
    </row>
    <row r="39" spans="2:6" ht="39" customHeight="1" thickBot="1">
      <c r="B39" s="175" t="s">
        <v>81</v>
      </c>
      <c r="C39" s="284">
        <f>90995.8+C29</f>
        <v>141083.8</v>
      </c>
      <c r="D39" s="176">
        <f>88255.4+D29</f>
        <v>131782.4</v>
      </c>
      <c r="E39" s="176">
        <f>88255.4+E29</f>
        <v>124096.29999999999</v>
      </c>
      <c r="F39" s="177">
        <f>88255.4+F29</f>
        <v>128406.4</v>
      </c>
    </row>
    <row r="40" spans="2:6" ht="24.75" customHeight="1">
      <c r="B40" s="285" t="s">
        <v>78</v>
      </c>
      <c r="C40" s="286">
        <f>173295.2/F32</f>
        <v>0.4008680085283388</v>
      </c>
      <c r="D40" s="178"/>
      <c r="E40" s="178"/>
      <c r="F40" s="179"/>
    </row>
    <row r="41" spans="2:6" ht="38.25" thickBot="1">
      <c r="B41" s="287" t="s">
        <v>54</v>
      </c>
      <c r="C41" s="288">
        <f>17205.2/F32</f>
        <v>0.03979922271552689</v>
      </c>
      <c r="D41" s="180"/>
      <c r="E41" s="180"/>
      <c r="F41" s="181"/>
    </row>
    <row r="42" spans="2:6" ht="19.5" thickBot="1">
      <c r="B42" s="182" t="s">
        <v>16</v>
      </c>
      <c r="C42" s="183"/>
      <c r="D42" s="184">
        <f>(ИНП!$F$18+$D$39-Итоговая!$I$15)/ИНП!$F$18</f>
        <v>2.221560172190685</v>
      </c>
      <c r="E42" s="184">
        <f>(ИНП!$F$55+$E$39-Итоговая!$I$30)/ИНП!$F$55</f>
        <v>2.1477167524474097</v>
      </c>
      <c r="F42" s="184">
        <f>(ИНП!$F$69+$F$39-Итоговая!$I$45)/ИНП!$F$69</f>
        <v>2.2086099243003905</v>
      </c>
    </row>
    <row r="43" spans="4:7" ht="15">
      <c r="D43" s="101"/>
      <c r="E43" s="101"/>
      <c r="F43" s="101"/>
      <c r="G43" s="101"/>
    </row>
    <row r="45" ht="15">
      <c r="B45" s="231"/>
    </row>
    <row r="61" ht="15.75">
      <c r="H61" s="317"/>
    </row>
  </sheetData>
  <sheetProtection/>
  <mergeCells count="4">
    <mergeCell ref="B12:C12"/>
    <mergeCell ref="B7:C7"/>
    <mergeCell ref="B32:C32"/>
    <mergeCell ref="B26:F26"/>
  </mergeCells>
  <printOptions/>
  <pageMargins left="0" right="0" top="0" bottom="0" header="0.5118110236220472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5"/>
  <sheetViews>
    <sheetView tabSelected="1" zoomScalePageLayoutView="0" workbookViewId="0" topLeftCell="A1">
      <selection activeCell="A6" sqref="A6:A8"/>
    </sheetView>
  </sheetViews>
  <sheetFormatPr defaultColWidth="9.00390625" defaultRowHeight="12.75"/>
  <cols>
    <col min="1" max="1" width="7.25390625" style="4" customWidth="1"/>
    <col min="2" max="2" width="22.875" style="1" customWidth="1"/>
    <col min="3" max="3" width="13.75390625" style="1" customWidth="1"/>
    <col min="4" max="4" width="9.375" style="1" customWidth="1"/>
    <col min="5" max="5" width="11.00390625" style="1" customWidth="1"/>
    <col min="6" max="6" width="11.625" style="4" customWidth="1"/>
    <col min="7" max="7" width="11.75390625" style="4" customWidth="1"/>
    <col min="8" max="8" width="14.75390625" style="4" customWidth="1"/>
    <col min="9" max="9" width="11.875" style="4" customWidth="1"/>
    <col min="10" max="10" width="14.875" style="4" customWidth="1"/>
    <col min="11" max="11" width="13.00390625" style="4" customWidth="1"/>
    <col min="12" max="12" width="12.875" style="4" customWidth="1"/>
    <col min="13" max="14" width="13.00390625" style="4" customWidth="1"/>
    <col min="15" max="15" width="16.375" style="4" customWidth="1"/>
    <col min="16" max="16" width="12.375" style="4" customWidth="1"/>
    <col min="17" max="17" width="13.00390625" style="4" customWidth="1"/>
    <col min="18" max="19" width="14.25390625" style="4" customWidth="1"/>
    <col min="20" max="20" width="14.875" style="4" customWidth="1"/>
    <col min="21" max="21" width="17.25390625" style="4" customWidth="1"/>
    <col min="22" max="22" width="11.625" style="4" customWidth="1"/>
    <col min="23" max="23" width="15.875" style="4" customWidth="1"/>
    <col min="24" max="24" width="13.75390625" style="4" hidden="1" customWidth="1"/>
    <col min="25" max="25" width="12.25390625" style="4" hidden="1" customWidth="1"/>
    <col min="26" max="26" width="17.125" style="4" customWidth="1"/>
    <col min="27" max="27" width="11.875" style="4" bestFit="1" customWidth="1"/>
    <col min="28" max="28" width="12.75390625" style="4" customWidth="1"/>
    <col min="29" max="29" width="13.625" style="4" customWidth="1"/>
    <col min="30" max="30" width="13.875" style="4" customWidth="1"/>
    <col min="31" max="16384" width="9.125" style="4" customWidth="1"/>
  </cols>
  <sheetData>
    <row r="3" spans="3:10" ht="15">
      <c r="C3" s="47" t="s">
        <v>76</v>
      </c>
      <c r="D3" s="48"/>
      <c r="E3" s="48"/>
      <c r="F3" s="49"/>
      <c r="G3" s="49"/>
      <c r="H3" s="49"/>
      <c r="I3" s="49"/>
      <c r="J3" s="49"/>
    </row>
    <row r="5" ht="16.5" customHeight="1">
      <c r="W5" s="4" t="s">
        <v>42</v>
      </c>
    </row>
    <row r="6" spans="1:34" ht="12.75" customHeight="1">
      <c r="A6" s="344" t="s">
        <v>9</v>
      </c>
      <c r="B6" s="344" t="s">
        <v>0</v>
      </c>
      <c r="C6" s="344" t="s">
        <v>1</v>
      </c>
      <c r="D6" s="344" t="s">
        <v>3</v>
      </c>
      <c r="E6" s="344" t="s">
        <v>4</v>
      </c>
      <c r="F6" s="344" t="s">
        <v>15</v>
      </c>
      <c r="G6" s="344" t="s">
        <v>66</v>
      </c>
      <c r="H6" s="344" t="s">
        <v>32</v>
      </c>
      <c r="I6" s="344" t="s">
        <v>31</v>
      </c>
      <c r="J6" s="344" t="s">
        <v>33</v>
      </c>
      <c r="K6" s="344" t="s">
        <v>34</v>
      </c>
      <c r="L6" s="344" t="s">
        <v>65</v>
      </c>
      <c r="M6" s="344" t="s">
        <v>17</v>
      </c>
      <c r="N6" s="344" t="s">
        <v>36</v>
      </c>
      <c r="O6" s="372" t="s">
        <v>40</v>
      </c>
      <c r="P6" s="344" t="s">
        <v>5</v>
      </c>
      <c r="Q6" s="344" t="s">
        <v>19</v>
      </c>
      <c r="R6" s="344" t="s">
        <v>18</v>
      </c>
      <c r="S6" s="344" t="s">
        <v>20</v>
      </c>
      <c r="T6" s="344" t="s">
        <v>21</v>
      </c>
      <c r="U6" s="376" t="s">
        <v>39</v>
      </c>
      <c r="V6" s="344" t="s">
        <v>37</v>
      </c>
      <c r="W6" s="344" t="s">
        <v>38</v>
      </c>
      <c r="X6" s="344" t="s">
        <v>6</v>
      </c>
      <c r="Y6" s="383" t="s">
        <v>7</v>
      </c>
      <c r="Z6" s="382" t="s">
        <v>67</v>
      </c>
      <c r="AA6" s="390"/>
      <c r="AB6" s="386"/>
      <c r="AC6" s="152"/>
      <c r="AD6" s="386"/>
      <c r="AE6" s="152"/>
      <c r="AF6" s="152"/>
      <c r="AG6" s="152"/>
      <c r="AH6" s="152"/>
    </row>
    <row r="7" spans="1:34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73"/>
      <c r="P7" s="345"/>
      <c r="Q7" s="345"/>
      <c r="R7" s="345"/>
      <c r="S7" s="345"/>
      <c r="T7" s="345"/>
      <c r="U7" s="377"/>
      <c r="V7" s="345"/>
      <c r="W7" s="345"/>
      <c r="X7" s="345"/>
      <c r="Y7" s="384"/>
      <c r="Z7" s="382"/>
      <c r="AA7" s="390"/>
      <c r="AB7" s="386"/>
      <c r="AC7" s="387"/>
      <c r="AD7" s="386"/>
      <c r="AE7" s="152"/>
      <c r="AF7" s="152"/>
      <c r="AG7" s="152"/>
      <c r="AH7" s="152"/>
    </row>
    <row r="8" spans="1:34" ht="118.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74"/>
      <c r="P8" s="346"/>
      <c r="Q8" s="346"/>
      <c r="R8" s="346"/>
      <c r="S8" s="346"/>
      <c r="T8" s="346"/>
      <c r="U8" s="378"/>
      <c r="V8" s="346"/>
      <c r="W8" s="346"/>
      <c r="X8" s="346"/>
      <c r="Y8" s="385"/>
      <c r="Z8" s="382"/>
      <c r="AA8" s="390"/>
      <c r="AB8" s="386"/>
      <c r="AC8" s="386"/>
      <c r="AD8" s="386"/>
      <c r="AE8" s="152"/>
      <c r="AF8" s="152"/>
      <c r="AG8" s="152"/>
      <c r="AH8" s="152"/>
    </row>
    <row r="9" spans="1:34" ht="18.75">
      <c r="A9" s="203">
        <f aca="true" t="shared" si="0" ref="A9:A14">RANK(F9,$F$9:$F$14,1)</f>
        <v>5</v>
      </c>
      <c r="B9" s="204" t="s">
        <v>22</v>
      </c>
      <c r="C9" s="253">
        <v>7581</v>
      </c>
      <c r="D9" s="207">
        <f>ИБР!AC12</f>
        <v>0.8399242510660626</v>
      </c>
      <c r="E9" s="207">
        <f>ИНП!H12</f>
        <v>0.9870423950756535</v>
      </c>
      <c r="F9" s="207">
        <f aca="true" t="shared" si="1" ref="F9:F14">E9/D9</f>
        <v>1.1751564427659555</v>
      </c>
      <c r="G9" s="207">
        <f>F9*(ИНП!$G$18)</f>
        <v>5.518493322951656</v>
      </c>
      <c r="H9" s="207">
        <f>2*ИНП!$I$18</f>
        <v>0</v>
      </c>
      <c r="I9" s="205">
        <f>IF((G9-H9)&lt;0,0,'Параметры модели'!$D$28*(G9-H9)*C9*D9)</f>
        <v>0</v>
      </c>
      <c r="J9" s="207">
        <f>F9-I9/(D9*C9*ИНП!$G$18)</f>
        <v>1.1751564427659555</v>
      </c>
      <c r="K9" s="207">
        <f aca="true" t="shared" si="2" ref="K9:K14">G9-I9/(C9*D9)</f>
        <v>5.518493322951656</v>
      </c>
      <c r="L9" s="66"/>
      <c r="M9" s="66"/>
      <c r="N9" s="208">
        <f aca="true" t="shared" si="3" ref="N9:N14">1-1*(I9&gt;0)</f>
        <v>1</v>
      </c>
      <c r="O9" s="149">
        <f>O15*(ИБР!B12/ИБР!B18)</f>
        <v>13203.63824924912</v>
      </c>
      <c r="P9" s="206">
        <f>F9+O9/(C9*D9*ИНП!$G$18)</f>
        <v>1.6167290905726264</v>
      </c>
      <c r="Q9" s="207">
        <f aca="true" t="shared" si="4" ref="Q9:Q14">G9+O9/(C9*D9)</f>
        <v>7.592102946180785</v>
      </c>
      <c r="R9" s="227"/>
      <c r="S9" s="289">
        <f>IF(ИНП!$G$18*('Параметры модели'!$D$42-F9)*C9*D9+I9&lt;0,0,ИНП!$G$18*('Параметры модели'!$D$42-F9)*C9*D9+I9)</f>
        <v>31288.931446764673</v>
      </c>
      <c r="T9" s="208"/>
      <c r="U9" s="150">
        <f aca="true" t="shared" si="5" ref="U9:U14">$T$15*S9</f>
        <v>31288.931446764673</v>
      </c>
      <c r="V9" s="209">
        <f>F9+(O9+U9)/(C9*D9*ИНП!$G$18)</f>
        <v>2.6631328199973563</v>
      </c>
      <c r="W9" s="209">
        <f aca="true" t="shared" si="6" ref="W9:W14">G9+(O9+U9)/(C9*D9)</f>
        <v>12.505978055736854</v>
      </c>
      <c r="X9" s="24"/>
      <c r="Y9" s="154"/>
      <c r="Z9" s="316">
        <f>O9+U9</f>
        <v>44492.569696013794</v>
      </c>
      <c r="AA9" s="391"/>
      <c r="AB9" s="147"/>
      <c r="AC9" s="388"/>
      <c r="AD9" s="388"/>
      <c r="AE9" s="152"/>
      <c r="AF9" s="152"/>
      <c r="AG9" s="152"/>
      <c r="AH9" s="152"/>
    </row>
    <row r="10" spans="1:34" ht="18.75">
      <c r="A10" s="203">
        <f t="shared" si="0"/>
        <v>2</v>
      </c>
      <c r="B10" s="204" t="s">
        <v>23</v>
      </c>
      <c r="C10" s="253">
        <v>7902</v>
      </c>
      <c r="D10" s="207">
        <f>ИБР!AC13</f>
        <v>0.8254884936469937</v>
      </c>
      <c r="E10" s="207">
        <f>ИНП!H13</f>
        <v>0.6880264846062226</v>
      </c>
      <c r="F10" s="207">
        <f t="shared" si="1"/>
        <v>0.8334779829171618</v>
      </c>
      <c r="G10" s="207">
        <f>F10*(ИНП!$G$18)</f>
        <v>3.9139832929219773</v>
      </c>
      <c r="H10" s="207">
        <f>2*ИНП!$I$18</f>
        <v>0</v>
      </c>
      <c r="I10" s="205">
        <f>IF((G10-H10)&lt;0,0,'Параметры модели'!$D$28*(G10-H10)*C10*D10)</f>
        <v>0</v>
      </c>
      <c r="J10" s="207">
        <f>F10-I10/(D10*C10*ИНП!$G$18)</f>
        <v>0.8334779829171618</v>
      </c>
      <c r="K10" s="207">
        <f t="shared" si="2"/>
        <v>3.9139832929219773</v>
      </c>
      <c r="L10" s="66"/>
      <c r="M10" s="66"/>
      <c r="N10" s="208">
        <f t="shared" si="3"/>
        <v>1</v>
      </c>
      <c r="O10" s="149">
        <f>O15*(ИБР!B13/ИБР!B18)</f>
        <v>13762.715927393027</v>
      </c>
      <c r="P10" s="206">
        <f>F10+O10/(C10*D10*ИНП!$G$18)</f>
        <v>1.2827726470519718</v>
      </c>
      <c r="Q10" s="207">
        <f t="shared" si="4"/>
        <v>6.0238552332314255</v>
      </c>
      <c r="R10" s="227"/>
      <c r="S10" s="289">
        <f>IF(ИНП!$G$18*('Параметры модели'!$D$42-F10)*C10*D10+I10&lt;0,0,ИНП!$G$18*('Параметры модели'!$D$42-F10)*C10*D10+I10)</f>
        <v>42519.49194997173</v>
      </c>
      <c r="T10" s="208"/>
      <c r="U10" s="150">
        <f t="shared" si="5"/>
        <v>42519.49194997173</v>
      </c>
      <c r="V10" s="209">
        <f>F10+(O10+U10)/(C10*D10*ИНП!$G$18)</f>
        <v>2.670854836325495</v>
      </c>
      <c r="W10" s="209">
        <f t="shared" si="6"/>
        <v>12.542240372817176</v>
      </c>
      <c r="X10" s="24"/>
      <c r="Y10" s="154"/>
      <c r="Z10" s="316">
        <f aca="true" t="shared" si="7" ref="Z10:Z15">O10+U10</f>
        <v>56282.20787736475</v>
      </c>
      <c r="AA10" s="391"/>
      <c r="AB10" s="147"/>
      <c r="AC10" s="388"/>
      <c r="AD10" s="388"/>
      <c r="AE10" s="153"/>
      <c r="AF10" s="152"/>
      <c r="AG10" s="152"/>
      <c r="AH10" s="152"/>
    </row>
    <row r="11" spans="1:34" ht="18.75">
      <c r="A11" s="203">
        <f t="shared" si="0"/>
        <v>1</v>
      </c>
      <c r="B11" s="204" t="s">
        <v>24</v>
      </c>
      <c r="C11" s="253">
        <v>3567</v>
      </c>
      <c r="D11" s="207">
        <f>ИБР!AC14</f>
        <v>1.0781500952336762</v>
      </c>
      <c r="E11" s="207">
        <f>ИНП!H14</f>
        <v>0.39489575723845444</v>
      </c>
      <c r="F11" s="207">
        <f t="shared" si="1"/>
        <v>0.3662715970477798</v>
      </c>
      <c r="G11" s="207">
        <f>F11*(ИНП!$G$18)</f>
        <v>1.7199985373331</v>
      </c>
      <c r="H11" s="207">
        <f>2*ИНП!$I$18</f>
        <v>0</v>
      </c>
      <c r="I11" s="205">
        <f>IF((G11-H11)&lt;0,0,'Параметры модели'!$D$28*(G11-H11)*C11*D11)</f>
        <v>0</v>
      </c>
      <c r="J11" s="207">
        <f>F11-I11/(D11*C11*ИНП!$G$18)</f>
        <v>0.3662715970477798</v>
      </c>
      <c r="K11" s="207">
        <f t="shared" si="2"/>
        <v>1.7199985373331</v>
      </c>
      <c r="L11" s="66"/>
      <c r="M11" s="66"/>
      <c r="N11" s="208">
        <f t="shared" si="3"/>
        <v>1</v>
      </c>
      <c r="O11" s="149">
        <f>O15*(ИБР!B14/ИБР!B18)</f>
        <v>6212.554759935577</v>
      </c>
      <c r="P11" s="206">
        <f>F11+O11/(C11*D11*ИНП!$G$18)</f>
        <v>0.7102752539967603</v>
      </c>
      <c r="Q11" s="207">
        <f t="shared" si="4"/>
        <v>3.3354276111640666</v>
      </c>
      <c r="R11" s="227"/>
      <c r="S11" s="289">
        <f>IF(ИНП!$G$18*('Параметры модели'!$D$42-F11)*C11*D11+I11&lt;0,0,ИНП!$G$18*('Параметры модели'!$D$42-F11)*C11*D11+I11)</f>
        <v>33505.69575563435</v>
      </c>
      <c r="T11" s="208"/>
      <c r="U11" s="150">
        <f t="shared" si="5"/>
        <v>33505.69575563435</v>
      </c>
      <c r="V11" s="209">
        <f>F11+(O11+U11)/(C11*D11*ИНП!$G$18)</f>
        <v>2.565563829139666</v>
      </c>
      <c r="W11" s="209">
        <f t="shared" si="6"/>
        <v>12.047797506338693</v>
      </c>
      <c r="X11" s="24"/>
      <c r="Y11" s="154"/>
      <c r="Z11" s="316">
        <f t="shared" si="7"/>
        <v>39718.250515569925</v>
      </c>
      <c r="AA11" s="391"/>
      <c r="AB11" s="147"/>
      <c r="AC11" s="388"/>
      <c r="AD11" s="388"/>
      <c r="AE11" s="152"/>
      <c r="AF11" s="152"/>
      <c r="AG11" s="152"/>
      <c r="AH11" s="152"/>
    </row>
    <row r="12" spans="1:34" ht="18.75">
      <c r="A12" s="203">
        <f t="shared" si="0"/>
        <v>6</v>
      </c>
      <c r="B12" s="204" t="s">
        <v>25</v>
      </c>
      <c r="C12" s="253">
        <v>1267</v>
      </c>
      <c r="D12" s="207">
        <f>ИБР!AC15</f>
        <v>1.5251574072586216</v>
      </c>
      <c r="E12" s="207">
        <f>ИНП!H15</f>
        <v>3.239902232267553</v>
      </c>
      <c r="F12" s="207">
        <f t="shared" si="1"/>
        <v>2.1243067875145307</v>
      </c>
      <c r="G12" s="207">
        <f>F12*(ИНП!$G$18)</f>
        <v>9.975669958637644</v>
      </c>
      <c r="H12" s="207">
        <f>2*ИНП!$I$18</f>
        <v>0</v>
      </c>
      <c r="I12" s="205">
        <f>IF((G12-H12)&lt;0,0,'Параметры модели'!$D$28*(G12-H12)*C12*D12)</f>
        <v>0</v>
      </c>
      <c r="J12" s="207">
        <f>F12-I12/(D12*C12*ИНП!$G$18)</f>
        <v>2.1243067875145307</v>
      </c>
      <c r="K12" s="207">
        <f t="shared" si="2"/>
        <v>9.975669958637644</v>
      </c>
      <c r="L12" s="66"/>
      <c r="M12" s="66"/>
      <c r="N12" s="208">
        <f t="shared" si="3"/>
        <v>1</v>
      </c>
      <c r="O12" s="149">
        <f>O15*(ИБР!B15/ИБР!B18)</f>
        <v>2206.7022374091325</v>
      </c>
      <c r="P12" s="206">
        <f>F12+O12/(C12*D12*ИНП!$G$18)</f>
        <v>2.3674866545466977</v>
      </c>
      <c r="Q12" s="207">
        <f t="shared" si="4"/>
        <v>11.117634061165699</v>
      </c>
      <c r="R12" s="227"/>
      <c r="S12" s="289">
        <f>IF(ИНП!$G$18*('Параметры модели'!$D$42-F12)*C12*D12+I12&lt;0,0,ИНП!$G$18*('Параметры модели'!$D$42-F12)*C12*D12+I12)</f>
        <v>882.5124554085431</v>
      </c>
      <c r="T12" s="208"/>
      <c r="U12" s="150">
        <f t="shared" si="5"/>
        <v>882.5124554085431</v>
      </c>
      <c r="V12" s="209">
        <f>F12+(O12+U12)/(C12*D12*ИНП!$G$18)</f>
        <v>2.464740039222852</v>
      </c>
      <c r="W12" s="209">
        <f t="shared" si="6"/>
        <v>11.574332535035781</v>
      </c>
      <c r="X12" s="24"/>
      <c r="Y12" s="154"/>
      <c r="Z12" s="316">
        <f t="shared" si="7"/>
        <v>3089.2146928176758</v>
      </c>
      <c r="AA12" s="391"/>
      <c r="AB12" s="147"/>
      <c r="AC12" s="388"/>
      <c r="AD12" s="388"/>
      <c r="AE12" s="152"/>
      <c r="AF12" s="152"/>
      <c r="AG12" s="152"/>
      <c r="AH12" s="152"/>
    </row>
    <row r="13" spans="1:34" ht="19.5" thickBot="1">
      <c r="A13" s="203">
        <f t="shared" si="0"/>
        <v>3</v>
      </c>
      <c r="B13" s="204" t="s">
        <v>26</v>
      </c>
      <c r="C13" s="253">
        <v>1590</v>
      </c>
      <c r="D13" s="207">
        <f>ИБР!AC16</f>
        <v>1.5722266303996415</v>
      </c>
      <c r="E13" s="207">
        <f>ИНП!H16</f>
        <v>1.5460329534852741</v>
      </c>
      <c r="F13" s="207">
        <f t="shared" si="1"/>
        <v>0.9833397575082994</v>
      </c>
      <c r="G13" s="207">
        <f>F13*(ИНП!$G$18)</f>
        <v>4.6177289155050865</v>
      </c>
      <c r="H13" s="207">
        <f>2*ИНП!$I$18</f>
        <v>0</v>
      </c>
      <c r="I13" s="205">
        <f>IF((G13-H13)&lt;0,0,'Параметры модели'!$D$28*(G13-H13)*C13*D13)</f>
        <v>0</v>
      </c>
      <c r="J13" s="207">
        <f>F13-I13/(D13*C13*ИНП!$G$18)</f>
        <v>0.9833397575082994</v>
      </c>
      <c r="K13" s="207">
        <f t="shared" si="2"/>
        <v>4.6177289155050865</v>
      </c>
      <c r="L13" s="66"/>
      <c r="M13" s="66"/>
      <c r="N13" s="208">
        <f t="shared" si="3"/>
        <v>1</v>
      </c>
      <c r="O13" s="149">
        <f>O15*(ИБР!B16/ИБР!B18)</f>
        <v>2769.263265572629</v>
      </c>
      <c r="P13" s="228">
        <f>F13+O13/(C13*D13*ИНП!$G$18)</f>
        <v>1.219239320795814</v>
      </c>
      <c r="Q13" s="229">
        <f t="shared" si="4"/>
        <v>5.725504967709083</v>
      </c>
      <c r="R13" s="230"/>
      <c r="S13" s="290">
        <f>IF(ИНП!$G$18*('Параметры модели'!$D$42-F13)*C13*D13+I13&lt;0,0,ИНП!$G$18*('Параметры модели'!$D$42-F13)*C13*D13+I13)</f>
        <v>14535.670440741</v>
      </c>
      <c r="T13" s="215"/>
      <c r="U13" s="150">
        <f t="shared" si="5"/>
        <v>14535.670440741</v>
      </c>
      <c r="V13" s="209">
        <f>F13+(O13+U13)/(C13*D13*ИНП!$G$18)</f>
        <v>2.4574597354782</v>
      </c>
      <c r="W13" s="209">
        <f t="shared" si="6"/>
        <v>11.540144484711725</v>
      </c>
      <c r="X13" s="25"/>
      <c r="Y13" s="155"/>
      <c r="Z13" s="316">
        <f t="shared" si="7"/>
        <v>17304.93370631363</v>
      </c>
      <c r="AA13" s="391"/>
      <c r="AB13" s="147"/>
      <c r="AC13" s="388"/>
      <c r="AD13" s="388"/>
      <c r="AE13" s="153"/>
      <c r="AF13" s="152"/>
      <c r="AG13" s="152"/>
      <c r="AH13" s="152"/>
    </row>
    <row r="14" spans="1:34" ht="18.75">
      <c r="A14" s="203">
        <f t="shared" si="0"/>
        <v>4</v>
      </c>
      <c r="B14" s="204" t="s">
        <v>27</v>
      </c>
      <c r="C14" s="253">
        <v>1066</v>
      </c>
      <c r="D14" s="207">
        <f>ИБР!AC17</f>
        <v>1.6928217718940044</v>
      </c>
      <c r="E14" s="207">
        <f>ИНП!H17</f>
        <v>1.952818603357372</v>
      </c>
      <c r="F14" s="207">
        <f t="shared" si="1"/>
        <v>1.1535878352819573</v>
      </c>
      <c r="G14" s="207">
        <f>F14*(ИНП!$G$18)</f>
        <v>5.417207900811896</v>
      </c>
      <c r="H14" s="207">
        <f>2*ИНП!$I$18</f>
        <v>0</v>
      </c>
      <c r="I14" s="205">
        <f>IF((G14-H14)&lt;0,0,'Параметры модели'!$D$28*(G14-H14)*C14*D14)</f>
        <v>0</v>
      </c>
      <c r="J14" s="207">
        <f>F14-I14/(D14*C14*ИНП!$G$18)</f>
        <v>1.1535878352819573</v>
      </c>
      <c r="K14" s="207">
        <f t="shared" si="2"/>
        <v>5.417207900811896</v>
      </c>
      <c r="L14" s="66"/>
      <c r="M14" s="66"/>
      <c r="N14" s="208">
        <f t="shared" si="3"/>
        <v>1</v>
      </c>
      <c r="O14" s="149">
        <f>O15*(ИБР!B17/ИБР!B18)</f>
        <v>1856.6255604405171</v>
      </c>
      <c r="P14" s="206">
        <f>F14+O14/(C14*D14*ИНП!$G$18)</f>
        <v>1.3726821201370667</v>
      </c>
      <c r="Q14" s="207">
        <f t="shared" si="4"/>
        <v>6.44606695656792</v>
      </c>
      <c r="R14" s="227"/>
      <c r="S14" s="289">
        <f>IF(ИНП!$G$18*('Параметры модели'!$D$42-F14)*C14*D14+I14&lt;0,0,ИНП!$G$18*('Параметры модели'!$D$42-F14)*C14*D14+I14)</f>
        <v>9050.097951479696</v>
      </c>
      <c r="T14" s="208"/>
      <c r="U14" s="150">
        <f t="shared" si="5"/>
        <v>9050.097951479696</v>
      </c>
      <c r="V14" s="209">
        <f>F14+(O14+U14)/(C14*D14*ИНП!$G$18)</f>
        <v>2.4406544570457944</v>
      </c>
      <c r="W14" s="209">
        <f t="shared" si="6"/>
        <v>11.461227488263752</v>
      </c>
      <c r="X14" s="26"/>
      <c r="Y14" s="156"/>
      <c r="Z14" s="316">
        <f t="shared" si="7"/>
        <v>10906.723511920214</v>
      </c>
      <c r="AA14" s="391"/>
      <c r="AB14" s="147"/>
      <c r="AC14" s="388"/>
      <c r="AD14" s="388"/>
      <c r="AE14" s="152"/>
      <c r="AF14" s="152"/>
      <c r="AG14" s="152"/>
      <c r="AH14" s="152"/>
    </row>
    <row r="15" spans="1:34" ht="16.5" thickBot="1">
      <c r="A15" s="22"/>
      <c r="B15" s="23" t="s">
        <v>30</v>
      </c>
      <c r="C15" s="114">
        <f>ИБР!B18</f>
        <v>22973</v>
      </c>
      <c r="D15" s="115">
        <f>ИБР!AC18</f>
        <v>0</v>
      </c>
      <c r="E15" s="115">
        <f>ИНП!H18</f>
        <v>1</v>
      </c>
      <c r="F15" s="116"/>
      <c r="G15" s="117"/>
      <c r="H15" s="119">
        <f>2*ИНП!$I$18</f>
        <v>0</v>
      </c>
      <c r="I15" s="118">
        <f>SUM(I9:I14)</f>
        <v>0</v>
      </c>
      <c r="J15" s="116"/>
      <c r="K15" s="117"/>
      <c r="L15" s="71">
        <f>'Параметры модели'!$D37</f>
        <v>171793.9</v>
      </c>
      <c r="M15" s="71">
        <f>'Параметры модели'!$D$38</f>
        <v>40011.5</v>
      </c>
      <c r="N15" s="82"/>
      <c r="O15" s="71">
        <f>'Параметры модели'!$D$38</f>
        <v>40011.5</v>
      </c>
      <c r="P15" s="72"/>
      <c r="Q15" s="73"/>
      <c r="R15" s="83">
        <f>'Параметры модели'!$D$39</f>
        <v>131782.4</v>
      </c>
      <c r="S15" s="71">
        <f>SUM(S9:S14)</f>
        <v>131782.4</v>
      </c>
      <c r="T15" s="84">
        <f>$R$15/$S$15</f>
        <v>1</v>
      </c>
      <c r="U15" s="71">
        <f>SUM(U9:U14)</f>
        <v>131782.4</v>
      </c>
      <c r="V15" s="72"/>
      <c r="W15" s="73"/>
      <c r="X15" s="29"/>
      <c r="Y15" s="157"/>
      <c r="Z15" s="75">
        <f t="shared" si="7"/>
        <v>171793.9</v>
      </c>
      <c r="AA15" s="391"/>
      <c r="AB15" s="147"/>
      <c r="AC15" s="389"/>
      <c r="AD15" s="389"/>
      <c r="AE15" s="152"/>
      <c r="AF15" s="152"/>
      <c r="AG15" s="152"/>
      <c r="AH15" s="152"/>
    </row>
    <row r="16" spans="3:28" ht="12.75">
      <c r="C16" s="62"/>
      <c r="D16" s="62"/>
      <c r="E16" s="62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147"/>
      <c r="AB16" s="148"/>
    </row>
    <row r="18" spans="3:19" ht="15">
      <c r="C18" s="47" t="s">
        <v>77</v>
      </c>
      <c r="D18" s="48"/>
      <c r="E18" s="48"/>
      <c r="F18" s="49"/>
      <c r="G18" s="49"/>
      <c r="H18" s="49"/>
      <c r="I18" s="49"/>
      <c r="J18" s="49"/>
      <c r="S18" s="4" t="s">
        <v>45</v>
      </c>
    </row>
    <row r="20" ht="12.75">
      <c r="V20" s="4" t="s">
        <v>42</v>
      </c>
    </row>
    <row r="21" spans="1:26" ht="12.75" customHeight="1">
      <c r="A21" s="344" t="s">
        <v>9</v>
      </c>
      <c r="B21" s="344" t="s">
        <v>0</v>
      </c>
      <c r="C21" s="344" t="s">
        <v>1</v>
      </c>
      <c r="D21" s="344" t="s">
        <v>3</v>
      </c>
      <c r="E21" s="344" t="s">
        <v>4</v>
      </c>
      <c r="F21" s="344" t="s">
        <v>15</v>
      </c>
      <c r="G21" s="344" t="s">
        <v>66</v>
      </c>
      <c r="H21" s="375" t="s">
        <v>32</v>
      </c>
      <c r="I21" s="344" t="s">
        <v>31</v>
      </c>
      <c r="J21" s="344" t="s">
        <v>33</v>
      </c>
      <c r="K21" s="344" t="s">
        <v>34</v>
      </c>
      <c r="L21" s="344" t="s">
        <v>65</v>
      </c>
      <c r="M21" s="344" t="s">
        <v>17</v>
      </c>
      <c r="N21" s="344" t="s">
        <v>36</v>
      </c>
      <c r="O21" s="372" t="s">
        <v>40</v>
      </c>
      <c r="P21" s="344" t="s">
        <v>5</v>
      </c>
      <c r="Q21" s="344" t="s">
        <v>19</v>
      </c>
      <c r="R21" s="344" t="s">
        <v>18</v>
      </c>
      <c r="S21" s="344" t="s">
        <v>20</v>
      </c>
      <c r="T21" s="344" t="s">
        <v>21</v>
      </c>
      <c r="U21" s="376" t="s">
        <v>39</v>
      </c>
      <c r="V21" s="344" t="s">
        <v>37</v>
      </c>
      <c r="W21" s="344" t="s">
        <v>38</v>
      </c>
      <c r="X21" s="344" t="s">
        <v>6</v>
      </c>
      <c r="Y21" s="344" t="s">
        <v>7</v>
      </c>
      <c r="Z21" s="379" t="s">
        <v>69</v>
      </c>
    </row>
    <row r="22" spans="1:26" ht="12.75" customHeight="1">
      <c r="A22" s="345"/>
      <c r="B22" s="345"/>
      <c r="C22" s="345"/>
      <c r="D22" s="345"/>
      <c r="E22" s="345"/>
      <c r="F22" s="345"/>
      <c r="G22" s="345"/>
      <c r="H22" s="375"/>
      <c r="I22" s="345"/>
      <c r="J22" s="345"/>
      <c r="K22" s="345"/>
      <c r="L22" s="345"/>
      <c r="M22" s="345"/>
      <c r="N22" s="345"/>
      <c r="O22" s="373"/>
      <c r="P22" s="345"/>
      <c r="Q22" s="345"/>
      <c r="R22" s="345"/>
      <c r="S22" s="345"/>
      <c r="T22" s="345"/>
      <c r="U22" s="377"/>
      <c r="V22" s="345"/>
      <c r="W22" s="345"/>
      <c r="X22" s="345"/>
      <c r="Y22" s="345"/>
      <c r="Z22" s="380"/>
    </row>
    <row r="23" spans="1:26" ht="90" customHeight="1">
      <c r="A23" s="346"/>
      <c r="B23" s="346"/>
      <c r="C23" s="346"/>
      <c r="D23" s="346"/>
      <c r="E23" s="346"/>
      <c r="F23" s="346"/>
      <c r="G23" s="346"/>
      <c r="H23" s="375"/>
      <c r="I23" s="346"/>
      <c r="J23" s="346"/>
      <c r="K23" s="346"/>
      <c r="L23" s="346"/>
      <c r="M23" s="346"/>
      <c r="N23" s="346"/>
      <c r="O23" s="374"/>
      <c r="P23" s="346"/>
      <c r="Q23" s="346"/>
      <c r="R23" s="346"/>
      <c r="S23" s="346"/>
      <c r="T23" s="346"/>
      <c r="U23" s="378"/>
      <c r="V23" s="346"/>
      <c r="W23" s="346"/>
      <c r="X23" s="346"/>
      <c r="Y23" s="346"/>
      <c r="Z23" s="381"/>
    </row>
    <row r="24" spans="1:26" ht="18.75">
      <c r="A24" s="203">
        <f aca="true" t="shared" si="8" ref="A24:A29">RANK(F24,$F$24:$F$29,1)</f>
        <v>5</v>
      </c>
      <c r="B24" s="204" t="s">
        <v>22</v>
      </c>
      <c r="C24" s="253">
        <v>7581</v>
      </c>
      <c r="D24" s="209">
        <f>ИБР!AC49</f>
        <v>0.8399242510660626</v>
      </c>
      <c r="E24" s="209">
        <f>ИНП!H49</f>
        <v>0.9877945336664581</v>
      </c>
      <c r="F24" s="209">
        <f aca="true" t="shared" si="9" ref="F24:F29">E24/D24</f>
        <v>1.1760519266025633</v>
      </c>
      <c r="G24" s="209">
        <f>F24*(ИНП!$G$55)</f>
        <v>5.535194643187171</v>
      </c>
      <c r="H24" s="210">
        <f>2*ИНП!$I$55</f>
        <v>0</v>
      </c>
      <c r="I24" s="65">
        <f>IF((G24-H24)&lt;0,0,'Параметры модели'!$E$28*(G24-H24)*C24*D24)</f>
        <v>0</v>
      </c>
      <c r="J24" s="209">
        <f>F24-I24/(D24*C24*ИНП!$G$55)</f>
        <v>1.1760519266025633</v>
      </c>
      <c r="K24" s="209">
        <f aca="true" t="shared" si="10" ref="K24:K29">G24-I24/(C24*D24)</f>
        <v>5.535194643187171</v>
      </c>
      <c r="L24" s="66"/>
      <c r="M24" s="211"/>
      <c r="N24" s="208">
        <f aca="true" t="shared" si="11" ref="N24:N29">1-1*(I24&gt;0)</f>
        <v>1</v>
      </c>
      <c r="O24" s="149">
        <f>O30*(ИБР!B49/ИБР!B55)</f>
        <v>13203.63824924912</v>
      </c>
      <c r="P24" s="66">
        <f>F24+O24/(C24*D24*ИНП!$G$55)</f>
        <v>1.6166276876413914</v>
      </c>
      <c r="Q24" s="209">
        <f aca="true" t="shared" si="12" ref="Q24:Q29">G24+O24/(C24*D24)</f>
        <v>7.6088042664163</v>
      </c>
      <c r="R24" s="220"/>
      <c r="S24" s="336">
        <f>IF(ИНП!$G$55*('Параметры модели'!$E$42-F24)*C24*D24+I24&lt;0,0,ИНП!$G$55*('Параметры модели'!$E$42-F24)*C24*D24+I24)</f>
        <v>29119.87447907814</v>
      </c>
      <c r="T24" s="208"/>
      <c r="U24" s="150">
        <f aca="true" t="shared" si="13" ref="U24:U29">$T$30*S24</f>
        <v>29119.874479078146</v>
      </c>
      <c r="V24" s="66">
        <f>F24+(O24+U24)/(C24*D24*ИНП!$G$55)</f>
        <v>2.5882925134862385</v>
      </c>
      <c r="W24" s="209">
        <f aca="true" t="shared" si="14" ref="W24:W29">G24+(O24+U24)/(C24*D24)</f>
        <v>12.18203255449627</v>
      </c>
      <c r="X24" s="65"/>
      <c r="Y24" s="66"/>
      <c r="Z24" s="338">
        <f>O24+U24</f>
        <v>42323.51272832727</v>
      </c>
    </row>
    <row r="25" spans="1:26" ht="18.75">
      <c r="A25" s="203">
        <f t="shared" si="8"/>
        <v>2</v>
      </c>
      <c r="B25" s="204" t="s">
        <v>23</v>
      </c>
      <c r="C25" s="253">
        <v>7902</v>
      </c>
      <c r="D25" s="209">
        <f>ИБР!AC50</f>
        <v>0.8254884936469937</v>
      </c>
      <c r="E25" s="209">
        <f>ИНП!H50</f>
        <v>0.6891905414618081</v>
      </c>
      <c r="F25" s="209">
        <f t="shared" si="9"/>
        <v>0.8348881259591837</v>
      </c>
      <c r="G25" s="209">
        <f>F25*(ИНП!$G$55)</f>
        <v>3.9294763929514547</v>
      </c>
      <c r="H25" s="210">
        <f>2*ИНП!$I$55</f>
        <v>0</v>
      </c>
      <c r="I25" s="65">
        <f>IF((G25-H25)&lt;0,0,'Параметры модели'!$E$28*(G25-H25)*C25*D25)</f>
        <v>0</v>
      </c>
      <c r="J25" s="209">
        <f>F25-I25/(D25*C25*ИНП!$G$55)</f>
        <v>0.8348881259591837</v>
      </c>
      <c r="K25" s="209">
        <f t="shared" si="10"/>
        <v>3.9294763929514547</v>
      </c>
      <c r="L25" s="66"/>
      <c r="M25" s="211"/>
      <c r="N25" s="208">
        <f t="shared" si="11"/>
        <v>1</v>
      </c>
      <c r="O25" s="149">
        <f>O30*(ИБР!B50/ИБР!B55)</f>
        <v>13762.715927393027</v>
      </c>
      <c r="P25" s="66">
        <f>F25+O25/(C25*D25*ИНП!$G$55)</f>
        <v>1.2831684702357256</v>
      </c>
      <c r="Q25" s="209">
        <f t="shared" si="12"/>
        <v>6.039348333260903</v>
      </c>
      <c r="R25" s="220"/>
      <c r="S25" s="336">
        <f>IF(ИНП!$G$55*('Параметры модели'!$E$42-F25)*C25*D25+I25&lt;0,0,ИНП!$G$55*('Параметры модели'!$E$42-F25)*C25*D25+I25)</f>
        <v>40305.33053343269</v>
      </c>
      <c r="T25" s="208"/>
      <c r="U25" s="150">
        <f t="shared" si="13"/>
        <v>40305.330533432694</v>
      </c>
      <c r="V25" s="66">
        <f>F25+(O25+U25)/(C25*D25*ИНП!$G$55)</f>
        <v>2.5959970967239516</v>
      </c>
      <c r="W25" s="209">
        <f t="shared" si="14"/>
        <v>12.218294871576589</v>
      </c>
      <c r="X25" s="65"/>
      <c r="Y25" s="66"/>
      <c r="Z25" s="338">
        <f aca="true" t="shared" si="15" ref="Z25:Z30">O25+U25</f>
        <v>54068.04646082572</v>
      </c>
    </row>
    <row r="26" spans="1:26" ht="18.75">
      <c r="A26" s="203">
        <f t="shared" si="8"/>
        <v>1</v>
      </c>
      <c r="B26" s="204" t="s">
        <v>24</v>
      </c>
      <c r="C26" s="253">
        <v>3567</v>
      </c>
      <c r="D26" s="209">
        <f>ИБР!AC51</f>
        <v>1.0781500952336762</v>
      </c>
      <c r="E26" s="209">
        <f>ИНП!H51</f>
        <v>0.39544445726665245</v>
      </c>
      <c r="F26" s="209">
        <f t="shared" si="9"/>
        <v>0.3667805243582013</v>
      </c>
      <c r="G26" s="209">
        <f>F26*(ИНП!$G$55)</f>
        <v>1.72628567474724</v>
      </c>
      <c r="H26" s="210">
        <f>2*ИНП!$I$55</f>
        <v>0</v>
      </c>
      <c r="I26" s="65">
        <f>IF((G26-H26)&lt;0,0,'Параметры модели'!$E$28*(G26-H26)*C26*D26)</f>
        <v>0</v>
      </c>
      <c r="J26" s="209">
        <f>F26-I26/(D26*C26*ИНП!$G$55)</f>
        <v>0.3667805243582013</v>
      </c>
      <c r="K26" s="209">
        <f t="shared" si="10"/>
        <v>1.72628567474724</v>
      </c>
      <c r="L26" s="66"/>
      <c r="M26" s="211"/>
      <c r="N26" s="208">
        <f t="shared" si="11"/>
        <v>1</v>
      </c>
      <c r="O26" s="149">
        <f>O30*(ИБР!B51/ИБР!B55)</f>
        <v>6212.554759935577</v>
      </c>
      <c r="P26" s="66">
        <f>F26+O26/(C26*D26*ИНП!$G$55)</f>
        <v>0.7100075646045728</v>
      </c>
      <c r="Q26" s="209">
        <f t="shared" si="12"/>
        <v>3.3417147485782066</v>
      </c>
      <c r="R26" s="220"/>
      <c r="S26" s="336">
        <f>IF(ИНП!$G$55*('Параметры модели'!$E$42-F26)*C26*D26+I26&lt;0,0,ИНП!$G$55*('Параметры модели'!$E$42-F26)*C26*D26+I26)</f>
        <v>32235.69982427773</v>
      </c>
      <c r="T26" s="208"/>
      <c r="U26" s="150">
        <f t="shared" si="13"/>
        <v>32235.699824277737</v>
      </c>
      <c r="V26" s="66">
        <f>F26+(O26+U26)/(C26*D26*ИНП!$G$55)</f>
        <v>2.4909437926937814</v>
      </c>
      <c r="W26" s="209">
        <f t="shared" si="14"/>
        <v>11.723852005098106</v>
      </c>
      <c r="X26" s="65"/>
      <c r="Y26" s="66"/>
      <c r="Z26" s="338">
        <f t="shared" si="15"/>
        <v>38448.25458421331</v>
      </c>
    </row>
    <row r="27" spans="1:26" ht="18.75">
      <c r="A27" s="203">
        <f t="shared" si="8"/>
        <v>6</v>
      </c>
      <c r="B27" s="204" t="s">
        <v>25</v>
      </c>
      <c r="C27" s="253">
        <v>1267</v>
      </c>
      <c r="D27" s="209">
        <f>ИБР!AC52</f>
        <v>1.5251574072586216</v>
      </c>
      <c r="E27" s="209">
        <f>ИНП!H52</f>
        <v>3.233590879935772</v>
      </c>
      <c r="F27" s="209">
        <f t="shared" si="9"/>
        <v>2.1201686229541097</v>
      </c>
      <c r="G27" s="209">
        <f>F27*(ИНП!$G$55)</f>
        <v>9.978765170965989</v>
      </c>
      <c r="H27" s="210">
        <f>2*ИНП!$I$55</f>
        <v>0</v>
      </c>
      <c r="I27" s="65">
        <f>IF((G27-H27)&lt;0,0,'Параметры модели'!$E$28*(G27-H27)*C27*D27)</f>
        <v>0</v>
      </c>
      <c r="J27" s="209">
        <f>F27-I27/(D27*C27*ИНП!$G$55)</f>
        <v>2.1201686229541097</v>
      </c>
      <c r="K27" s="209">
        <f t="shared" si="10"/>
        <v>9.978765170965989</v>
      </c>
      <c r="L27" s="66"/>
      <c r="M27" s="211"/>
      <c r="N27" s="208">
        <f t="shared" si="11"/>
        <v>1</v>
      </c>
      <c r="O27" s="149">
        <f>O30*(ИБР!B52/ИБР!B55)</f>
        <v>2206.7022374091325</v>
      </c>
      <c r="P27" s="66">
        <f>F27+O27/(C27*D27*ИНП!$G$55)</f>
        <v>2.3627994913269297</v>
      </c>
      <c r="Q27" s="209">
        <f t="shared" si="12"/>
        <v>11.120729273494044</v>
      </c>
      <c r="R27" s="220"/>
      <c r="S27" s="336">
        <f>IF(ИНП!$G$55*('Параметры модели'!$E$42-F27)*C27*D27+I27&lt;0,0,ИНП!$G$55*('Параметры модели'!$E$42-F27)*C27*D27+I27)</f>
        <v>250.54734130486855</v>
      </c>
      <c r="T27" s="208"/>
      <c r="U27" s="150">
        <f t="shared" si="13"/>
        <v>250.5473413048686</v>
      </c>
      <c r="V27" s="66">
        <f>F27+(O27+U27)/(C27*D27*ИНП!$G$55)</f>
        <v>2.3903476208202297</v>
      </c>
      <c r="W27" s="209">
        <f t="shared" si="14"/>
        <v>11.250387033795192</v>
      </c>
      <c r="X27" s="65"/>
      <c r="Y27" s="66"/>
      <c r="Z27" s="338">
        <f t="shared" si="15"/>
        <v>2457.249578714001</v>
      </c>
    </row>
    <row r="28" spans="1:26" ht="19.5" thickBot="1">
      <c r="A28" s="203">
        <f t="shared" si="8"/>
        <v>3</v>
      </c>
      <c r="B28" s="204" t="s">
        <v>26</v>
      </c>
      <c r="C28" s="253">
        <v>1590</v>
      </c>
      <c r="D28" s="209">
        <f>ИБР!AC53</f>
        <v>1.5722266303996415</v>
      </c>
      <c r="E28" s="209">
        <f>ИНП!H53</f>
        <v>1.5429825929728727</v>
      </c>
      <c r="F28" s="209">
        <f t="shared" si="9"/>
        <v>0.9813996043182812</v>
      </c>
      <c r="G28" s="209">
        <f>F28*(ИНП!$G$55)</f>
        <v>4.619045902455579</v>
      </c>
      <c r="H28" s="210">
        <f>2*ИНП!$I$55</f>
        <v>0</v>
      </c>
      <c r="I28" s="65">
        <f>IF((G28-H28)&lt;0,0,'Параметры модели'!$E$28*(G28-H28)*C28*D28)</f>
        <v>0</v>
      </c>
      <c r="J28" s="209">
        <f>F28-I28/(D28*C28*ИНП!$G$55)</f>
        <v>0.9813996043182812</v>
      </c>
      <c r="K28" s="209">
        <f t="shared" si="10"/>
        <v>4.619045902455579</v>
      </c>
      <c r="L28" s="66"/>
      <c r="M28" s="211"/>
      <c r="N28" s="208">
        <f t="shared" si="11"/>
        <v>1</v>
      </c>
      <c r="O28" s="149">
        <f>O30*(ИБР!B53/ИБР!B55)</f>
        <v>2769.263265572629</v>
      </c>
      <c r="P28" s="66">
        <f>F28+O28/(C28*D28*ИНП!$G$55)</f>
        <v>1.21676660483419</v>
      </c>
      <c r="Q28" s="209">
        <f t="shared" si="12"/>
        <v>5.726821954659575</v>
      </c>
      <c r="R28" s="220"/>
      <c r="S28" s="336">
        <f>IF(ИНП!$G$55*('Параметры модели'!$E$42-F28)*C28*D28+I28&lt;0,0,ИНП!$G$55*('Параметры модели'!$E$42-F28)*C28*D28+I28)</f>
        <v>13722.566150912533</v>
      </c>
      <c r="T28" s="208"/>
      <c r="U28" s="150">
        <f t="shared" si="13"/>
        <v>13722.566150912537</v>
      </c>
      <c r="V28" s="66">
        <f>F28+(O28+U28)/(C28*D28*ИНП!$G$55)</f>
        <v>2.383083752963319</v>
      </c>
      <c r="W28" s="209">
        <f t="shared" si="14"/>
        <v>11.216198983471134</v>
      </c>
      <c r="X28" s="67"/>
      <c r="Y28" s="68"/>
      <c r="Z28" s="338">
        <f t="shared" si="15"/>
        <v>16491.829416485165</v>
      </c>
    </row>
    <row r="29" spans="1:26" ht="18.75">
      <c r="A29" s="203">
        <f t="shared" si="8"/>
        <v>4</v>
      </c>
      <c r="B29" s="204" t="s">
        <v>27</v>
      </c>
      <c r="C29" s="253">
        <v>1066</v>
      </c>
      <c r="D29" s="209">
        <f>ИБР!AC54</f>
        <v>1.6928217718940044</v>
      </c>
      <c r="E29" s="209">
        <f>ИНП!H54</f>
        <v>1.9490559426526581</v>
      </c>
      <c r="F29" s="209">
        <f t="shared" si="9"/>
        <v>1.1513651200692956</v>
      </c>
      <c r="G29" s="209">
        <f>F29*(ИНП!$G$55)</f>
        <v>5.419003957904173</v>
      </c>
      <c r="H29" s="210">
        <f>2*ИНП!$I$55</f>
        <v>0</v>
      </c>
      <c r="I29" s="65">
        <f>IF((G29-H29)&lt;0,0,'Параметры модели'!$E$28*(G29-H29)*C29*D29)</f>
        <v>0</v>
      </c>
      <c r="J29" s="209">
        <f>F29-I29/(D29*C29*ИНП!$G$55)</f>
        <v>1.1513651200692956</v>
      </c>
      <c r="K29" s="209">
        <f t="shared" si="10"/>
        <v>5.419003957904173</v>
      </c>
      <c r="L29" s="66"/>
      <c r="M29" s="211"/>
      <c r="N29" s="208">
        <f t="shared" si="11"/>
        <v>1</v>
      </c>
      <c r="O29" s="149">
        <f>O30*(ИБР!B54/ИБР!B55)</f>
        <v>1856.6255604405171</v>
      </c>
      <c r="P29" s="66">
        <f>F29+O29/(C29*D29*ИНП!$G$55)</f>
        <v>1.3699647814585567</v>
      </c>
      <c r="Q29" s="209">
        <f t="shared" si="12"/>
        <v>6.447863013660198</v>
      </c>
      <c r="R29" s="220"/>
      <c r="S29" s="336">
        <f>IF(ИНП!$G$55*('Параметры модели'!$E$42-F29)*C29*D29+I29&lt;0,0,ИНП!$G$55*('Параметры модели'!$E$42-F29)*C29*D29+I29)</f>
        <v>8462.281670994007</v>
      </c>
      <c r="T29" s="208"/>
      <c r="U29" s="150">
        <f t="shared" si="13"/>
        <v>8462.281670994009</v>
      </c>
      <c r="V29" s="66">
        <f>F29+(O29+U29)/(C29*D29*ИНП!$G$55)</f>
        <v>2.366316413836671</v>
      </c>
      <c r="W29" s="209">
        <f t="shared" si="14"/>
        <v>11.137281987023165</v>
      </c>
      <c r="X29" s="69"/>
      <c r="Y29" s="70"/>
      <c r="Z29" s="338">
        <f t="shared" si="15"/>
        <v>10318.907231434527</v>
      </c>
    </row>
    <row r="30" spans="1:26" ht="16.5" thickBot="1">
      <c r="A30" s="22"/>
      <c r="B30" s="23" t="s">
        <v>30</v>
      </c>
      <c r="C30" s="76">
        <f>ИБР!B55</f>
        <v>22973</v>
      </c>
      <c r="D30" s="77">
        <f>ИБР!AC55</f>
        <v>0</v>
      </c>
      <c r="E30" s="77">
        <f>ИНП!H55</f>
        <v>1</v>
      </c>
      <c r="F30" s="78"/>
      <c r="G30" s="79"/>
      <c r="H30" s="80">
        <f>2*ИНП!$I$55</f>
        <v>0</v>
      </c>
      <c r="I30" s="81">
        <f>SUM(I24:I29)</f>
        <v>0</v>
      </c>
      <c r="J30" s="78"/>
      <c r="K30" s="79"/>
      <c r="L30" s="71">
        <f>'Параметры модели'!$E37</f>
        <v>164107.8</v>
      </c>
      <c r="M30" s="52">
        <f>'Параметры модели'!$E$38</f>
        <v>40011.5</v>
      </c>
      <c r="N30" s="30"/>
      <c r="O30" s="71">
        <f>'Параметры модели'!$E$38</f>
        <v>40011.5</v>
      </c>
      <c r="P30" s="72"/>
      <c r="Q30" s="73"/>
      <c r="R30" s="83">
        <f>'Параметры модели'!$E$39</f>
        <v>124096.29999999999</v>
      </c>
      <c r="S30" s="71">
        <f>SUM(S24:S29)</f>
        <v>124096.29999999997</v>
      </c>
      <c r="T30" s="84">
        <f>$R$30/$S$30</f>
        <v>1.0000000000000002</v>
      </c>
      <c r="U30" s="315">
        <f>SUM(U24:U29)</f>
        <v>124096.29999999999</v>
      </c>
      <c r="V30" s="72"/>
      <c r="W30" s="73"/>
      <c r="X30" s="74"/>
      <c r="Y30" s="72"/>
      <c r="Z30" s="75">
        <f t="shared" si="15"/>
        <v>164107.8</v>
      </c>
    </row>
    <row r="31" spans="3:12" ht="12.75">
      <c r="C31" s="1" t="s">
        <v>43</v>
      </c>
      <c r="D31" s="1" t="s">
        <v>43</v>
      </c>
      <c r="E31" s="1" t="s">
        <v>43</v>
      </c>
      <c r="F31" s="4" t="s">
        <v>43</v>
      </c>
      <c r="G31" s="4" t="s">
        <v>43</v>
      </c>
      <c r="H31" s="4" t="s">
        <v>43</v>
      </c>
      <c r="I31" s="4" t="s">
        <v>43</v>
      </c>
      <c r="J31" s="4" t="s">
        <v>43</v>
      </c>
      <c r="K31" s="4" t="s">
        <v>43</v>
      </c>
      <c r="L31" s="4" t="s">
        <v>43</v>
      </c>
    </row>
    <row r="33" spans="3:10" ht="15">
      <c r="C33" s="47" t="s">
        <v>116</v>
      </c>
      <c r="D33" s="48"/>
      <c r="E33" s="48"/>
      <c r="F33" s="49"/>
      <c r="G33" s="49"/>
      <c r="H33" s="49"/>
      <c r="I33" s="49"/>
      <c r="J33" s="49"/>
    </row>
    <row r="35" ht="12.75">
      <c r="W35" s="4" t="s">
        <v>42</v>
      </c>
    </row>
    <row r="36" spans="1:26" ht="12.75" customHeight="1">
      <c r="A36" s="344" t="s">
        <v>9</v>
      </c>
      <c r="B36" s="344" t="s">
        <v>0</v>
      </c>
      <c r="C36" s="344" t="s">
        <v>1</v>
      </c>
      <c r="D36" s="344" t="s">
        <v>3</v>
      </c>
      <c r="E36" s="344" t="s">
        <v>4</v>
      </c>
      <c r="F36" s="344" t="s">
        <v>15</v>
      </c>
      <c r="G36" s="344" t="s">
        <v>66</v>
      </c>
      <c r="H36" s="375" t="s">
        <v>32</v>
      </c>
      <c r="I36" s="344" t="s">
        <v>31</v>
      </c>
      <c r="J36" s="344" t="s">
        <v>33</v>
      </c>
      <c r="K36" s="344" t="s">
        <v>34</v>
      </c>
      <c r="L36" s="344" t="s">
        <v>65</v>
      </c>
      <c r="M36" s="344" t="s">
        <v>17</v>
      </c>
      <c r="N36" s="344" t="s">
        <v>36</v>
      </c>
      <c r="O36" s="372" t="s">
        <v>40</v>
      </c>
      <c r="P36" s="344" t="s">
        <v>5</v>
      </c>
      <c r="Q36" s="344" t="s">
        <v>19</v>
      </c>
      <c r="R36" s="344" t="s">
        <v>18</v>
      </c>
      <c r="S36" s="344" t="s">
        <v>20</v>
      </c>
      <c r="T36" s="344" t="s">
        <v>21</v>
      </c>
      <c r="U36" s="376" t="s">
        <v>39</v>
      </c>
      <c r="V36" s="344" t="s">
        <v>37</v>
      </c>
      <c r="W36" s="344" t="s">
        <v>38</v>
      </c>
      <c r="X36" s="344" t="s">
        <v>6</v>
      </c>
      <c r="Y36" s="344" t="s">
        <v>7</v>
      </c>
      <c r="Z36" s="379" t="s">
        <v>69</v>
      </c>
    </row>
    <row r="37" spans="1:26" ht="12.75" customHeight="1">
      <c r="A37" s="345"/>
      <c r="B37" s="345"/>
      <c r="C37" s="345"/>
      <c r="D37" s="345"/>
      <c r="E37" s="345"/>
      <c r="F37" s="345"/>
      <c r="G37" s="345"/>
      <c r="H37" s="375"/>
      <c r="I37" s="345"/>
      <c r="J37" s="345"/>
      <c r="K37" s="345"/>
      <c r="L37" s="345"/>
      <c r="M37" s="345"/>
      <c r="N37" s="345"/>
      <c r="O37" s="373"/>
      <c r="P37" s="345"/>
      <c r="Q37" s="345"/>
      <c r="R37" s="345"/>
      <c r="S37" s="345"/>
      <c r="T37" s="345"/>
      <c r="U37" s="377"/>
      <c r="V37" s="345"/>
      <c r="W37" s="345"/>
      <c r="X37" s="345"/>
      <c r="Y37" s="345"/>
      <c r="Z37" s="380"/>
    </row>
    <row r="38" spans="1:26" ht="121.5" customHeight="1">
      <c r="A38" s="346"/>
      <c r="B38" s="346"/>
      <c r="C38" s="346"/>
      <c r="D38" s="346"/>
      <c r="E38" s="346"/>
      <c r="F38" s="346"/>
      <c r="G38" s="346"/>
      <c r="H38" s="375"/>
      <c r="I38" s="346"/>
      <c r="J38" s="346"/>
      <c r="K38" s="346"/>
      <c r="L38" s="346"/>
      <c r="M38" s="346"/>
      <c r="N38" s="346"/>
      <c r="O38" s="374"/>
      <c r="P38" s="346"/>
      <c r="Q38" s="346"/>
      <c r="R38" s="346"/>
      <c r="S38" s="346"/>
      <c r="T38" s="346"/>
      <c r="U38" s="378"/>
      <c r="V38" s="346"/>
      <c r="W38" s="346"/>
      <c r="X38" s="346"/>
      <c r="Y38" s="346"/>
      <c r="Z38" s="381"/>
    </row>
    <row r="39" spans="1:26" ht="18.75">
      <c r="A39" s="203">
        <f aca="true" t="shared" si="16" ref="A39:A44">RANK(F39,$F$39:$F$44,1)</f>
        <v>5</v>
      </c>
      <c r="B39" s="204" t="s">
        <v>22</v>
      </c>
      <c r="C39" s="253">
        <v>7581</v>
      </c>
      <c r="D39" s="209">
        <f>ИБР!AC64</f>
        <v>0.8399242510660626</v>
      </c>
      <c r="E39" s="209">
        <f>ИНП!H63</f>
        <v>1.0082856669589517</v>
      </c>
      <c r="F39" s="209">
        <f aca="true" t="shared" si="17" ref="F39:F44">E39/D39</f>
        <v>1.2004483329052573</v>
      </c>
      <c r="G39" s="209">
        <f>F39*(ИНП!$G$69)</f>
        <v>5.551703637683876</v>
      </c>
      <c r="H39" s="210">
        <f>2*ИНП!$I$69</f>
        <v>0</v>
      </c>
      <c r="I39" s="65">
        <f>IF((G39-H39)&lt;0,0,'Параметры модели'!$F$28*(G39-H39)*C39*D39)</f>
        <v>0</v>
      </c>
      <c r="J39" s="209">
        <f>F39-I39/(D39*C39*ИНП!$G$69)</f>
        <v>1.2004483329052573</v>
      </c>
      <c r="K39" s="209">
        <f aca="true" t="shared" si="18" ref="K39:K44">G39-I39/(C39*D39)</f>
        <v>5.551703637683876</v>
      </c>
      <c r="L39" s="211"/>
      <c r="M39" s="211"/>
      <c r="N39" s="208">
        <f aca="true" t="shared" si="19" ref="N39:N44">1-1*(I39&gt;0)</f>
        <v>1</v>
      </c>
      <c r="O39" s="151">
        <f>O45*(ИБР!B64/ИБР!B70)</f>
        <v>13203.63824924912</v>
      </c>
      <c r="P39" s="66">
        <f>F39+O39/(C39*D39*ИНП!$G$69)</f>
        <v>1.6488262323314964</v>
      </c>
      <c r="Q39" s="209">
        <f aca="true" t="shared" si="20" ref="Q39:Q44">G39+O39/(C39*D39)</f>
        <v>7.625313260913005</v>
      </c>
      <c r="R39" s="220"/>
      <c r="S39" s="221">
        <f>IF(ИНП!$G$69*('Параметры модели'!$F$42-F39)*C39*D39+I39&lt;0,0,ИНП!$G$69*('Параметры модели'!$F$42-F39)*C39*D39+I39)</f>
        <v>29687.906042207713</v>
      </c>
      <c r="T39" s="222"/>
      <c r="U39" s="150">
        <f aca="true" t="shared" si="21" ref="U39:U44">$T$45*S39</f>
        <v>29687.90604220771</v>
      </c>
      <c r="V39" s="66">
        <f>F39+(O39+U39)/(C39*D39*ИНП!$G$69)</f>
        <v>2.6569878237266296</v>
      </c>
      <c r="W39" s="209">
        <f aca="true" t="shared" si="22" ref="W39:W44">G39+(O39+U39)/(C39*D39)</f>
        <v>12.287749969684924</v>
      </c>
      <c r="X39" s="65"/>
      <c r="Y39" s="66"/>
      <c r="Z39" s="316">
        <f>O39+U39</f>
        <v>42891.54429145683</v>
      </c>
    </row>
    <row r="40" spans="1:26" ht="18.75">
      <c r="A40" s="203">
        <f t="shared" si="16"/>
        <v>2</v>
      </c>
      <c r="B40" s="204" t="s">
        <v>23</v>
      </c>
      <c r="C40" s="253">
        <v>7902</v>
      </c>
      <c r="D40" s="209">
        <f>ИБР!AC65</f>
        <v>0.8254884936469937</v>
      </c>
      <c r="E40" s="209">
        <f>ИНП!H64</f>
        <v>0.6499380589499207</v>
      </c>
      <c r="F40" s="209">
        <f t="shared" si="17"/>
        <v>0.7873375146375521</v>
      </c>
      <c r="G40" s="209">
        <f>F40*(ИНП!$G$69)</f>
        <v>3.641193397736391</v>
      </c>
      <c r="H40" s="210">
        <f>2*ИНП!$I$69</f>
        <v>0</v>
      </c>
      <c r="I40" s="65">
        <f>IF((G40-H40)&lt;0,0,'Параметры модели'!$F$28*(G40-H40)*C40*D40)</f>
        <v>0</v>
      </c>
      <c r="J40" s="209">
        <f>F40-I40/(D40*C40*ИНП!$G$69)</f>
        <v>0.7873375146375521</v>
      </c>
      <c r="K40" s="209">
        <f t="shared" si="18"/>
        <v>3.641193397736391</v>
      </c>
      <c r="L40" s="211"/>
      <c r="M40" s="211"/>
      <c r="N40" s="208">
        <f t="shared" si="19"/>
        <v>1</v>
      </c>
      <c r="O40" s="151">
        <f>O45*(ИБР!B65/ИБР!B70)</f>
        <v>13762.715927393027</v>
      </c>
      <c r="P40" s="66">
        <f>F40+O40/(C40*D40*ИНП!$G$69)</f>
        <v>1.2435564374553985</v>
      </c>
      <c r="Q40" s="209">
        <f t="shared" si="20"/>
        <v>5.751065338045839</v>
      </c>
      <c r="R40" s="220"/>
      <c r="S40" s="221">
        <f>IF(ИНП!$G$69*('Параметры модели'!$F$42-F40)*C40*D40+I40&lt;0,0,ИНП!$G$69*('Параметры модели'!$F$42-F40)*C40*D40+I40)</f>
        <v>42875.39918075893</v>
      </c>
      <c r="T40" s="222"/>
      <c r="U40" s="150">
        <f t="shared" si="21"/>
        <v>42875.39918075892</v>
      </c>
      <c r="V40" s="66">
        <f>F40+(O40+U40)/(C40*D40*ИНП!$G$69)</f>
        <v>2.664828847118237</v>
      </c>
      <c r="W40" s="209">
        <f t="shared" si="22"/>
        <v>12.324012286765244</v>
      </c>
      <c r="X40" s="65"/>
      <c r="Y40" s="66"/>
      <c r="Z40" s="316">
        <f aca="true" t="shared" si="23" ref="Z40:Z45">O40+U40</f>
        <v>56638.11510815195</v>
      </c>
    </row>
    <row r="41" spans="1:26" ht="18.75">
      <c r="A41" s="203">
        <f t="shared" si="16"/>
        <v>1</v>
      </c>
      <c r="B41" s="204" t="s">
        <v>24</v>
      </c>
      <c r="C41" s="253">
        <v>3567</v>
      </c>
      <c r="D41" s="209">
        <f>ИБР!AC66</f>
        <v>1.0781500952336762</v>
      </c>
      <c r="E41" s="209">
        <f>ИНП!H65</f>
        <v>0.39689523478260436</v>
      </c>
      <c r="F41" s="209">
        <f t="shared" si="17"/>
        <v>0.3681261417470654</v>
      </c>
      <c r="G41" s="209">
        <f>F41*(ИНП!$G$69)</f>
        <v>1.7024699724623718</v>
      </c>
      <c r="H41" s="210">
        <f>2*ИНП!$I$69</f>
        <v>0</v>
      </c>
      <c r="I41" s="65">
        <f>IF((G41-H41)&lt;0,0,'Параметры модели'!$F$28*(G41-H41)*C41*D41)</f>
        <v>0</v>
      </c>
      <c r="J41" s="209">
        <f>F41-I41/(D41*C41*ИНП!$G$69)</f>
        <v>0.3681261417470654</v>
      </c>
      <c r="K41" s="209">
        <f t="shared" si="18"/>
        <v>1.7024699724623718</v>
      </c>
      <c r="L41" s="211"/>
      <c r="M41" s="211"/>
      <c r="N41" s="208">
        <f t="shared" si="19"/>
        <v>1</v>
      </c>
      <c r="O41" s="151">
        <f>O45*(ИБР!B66/ИБР!B70)</f>
        <v>6212.554759935577</v>
      </c>
      <c r="P41" s="66">
        <f>F41+O41/(C41*D41*ИНП!$G$69)</f>
        <v>0.7174313758096138</v>
      </c>
      <c r="Q41" s="209">
        <f t="shared" si="20"/>
        <v>3.3178990462933386</v>
      </c>
      <c r="R41" s="220"/>
      <c r="S41" s="221">
        <f>IF(ИНП!$G$69*('Параметры модели'!$F$42-F41)*C41*D41+I41&lt;0,0,ИНП!$G$69*('Параметры модели'!$F$42-F41)*C41*D41+I41)</f>
        <v>32733.853286144702</v>
      </c>
      <c r="T41" s="222"/>
      <c r="U41" s="150">
        <f t="shared" si="21"/>
        <v>32733.8532861447</v>
      </c>
      <c r="V41" s="66">
        <f>F41+(O41+U41)/(C41*D41*ИНП!$G$69)</f>
        <v>2.5579151583629383</v>
      </c>
      <c r="W41" s="209">
        <f t="shared" si="22"/>
        <v>11.829569420286763</v>
      </c>
      <c r="X41" s="65"/>
      <c r="Y41" s="66"/>
      <c r="Z41" s="316">
        <f t="shared" si="23"/>
        <v>38946.40804608027</v>
      </c>
    </row>
    <row r="42" spans="1:26" ht="18.75">
      <c r="A42" s="203">
        <f t="shared" si="16"/>
        <v>6</v>
      </c>
      <c r="B42" s="204" t="s">
        <v>25</v>
      </c>
      <c r="C42" s="253">
        <v>1267</v>
      </c>
      <c r="D42" s="209">
        <f>ИБР!AC67</f>
        <v>1.5251574072586216</v>
      </c>
      <c r="E42" s="209">
        <f>ИНП!H66</f>
        <v>3.3090065665004498</v>
      </c>
      <c r="F42" s="209">
        <f t="shared" si="17"/>
        <v>2.1696164282794848</v>
      </c>
      <c r="G42" s="209">
        <f>F42*(ИНП!$G$69)</f>
        <v>10.033807442680288</v>
      </c>
      <c r="H42" s="210">
        <f>2*ИНП!$I$69</f>
        <v>0</v>
      </c>
      <c r="I42" s="65">
        <f>IF((G42-H42)&lt;0,0,'Параметры модели'!$F$28*(G42-H42)*C42*D42)</f>
        <v>0</v>
      </c>
      <c r="J42" s="209">
        <f>F42-I42/(D42*C42*ИНП!$G$69)</f>
        <v>2.1696164282794848</v>
      </c>
      <c r="K42" s="209">
        <f t="shared" si="18"/>
        <v>10.033807442680288</v>
      </c>
      <c r="L42" s="211"/>
      <c r="M42" s="211"/>
      <c r="N42" s="208">
        <f t="shared" si="19"/>
        <v>1</v>
      </c>
      <c r="O42" s="151">
        <f>O45*(ИБР!B67/ИБР!B70)</f>
        <v>2206.7022374091325</v>
      </c>
      <c r="P42" s="66">
        <f>F42+O42/(C42*D42*ИНП!$G$69)</f>
        <v>2.4165440369169957</v>
      </c>
      <c r="Q42" s="209">
        <f t="shared" si="20"/>
        <v>11.175771545208343</v>
      </c>
      <c r="R42" s="220"/>
      <c r="S42" s="221">
        <f>IF(ИНП!$G$69*('Параметры модели'!$F$42-F42)*C42*D42+I42&lt;0,0,ИНП!$G$69*('Параметры модели'!$F$42-F42)*C42*D42+I42)</f>
        <v>348.47069304450895</v>
      </c>
      <c r="T42" s="222"/>
      <c r="U42" s="150">
        <f t="shared" si="21"/>
        <v>348.4706930445089</v>
      </c>
      <c r="V42" s="66">
        <f>F42+(O42+U42)/(C42*D42*ИНП!$G$69)</f>
        <v>2.4555375329379014</v>
      </c>
      <c r="W42" s="209">
        <f t="shared" si="22"/>
        <v>11.356104448983853</v>
      </c>
      <c r="X42" s="65"/>
      <c r="Y42" s="66"/>
      <c r="Z42" s="316">
        <f t="shared" si="23"/>
        <v>2555.1729304536416</v>
      </c>
    </row>
    <row r="43" spans="1:26" ht="19.5" thickBot="1">
      <c r="A43" s="203">
        <f t="shared" si="16"/>
        <v>3</v>
      </c>
      <c r="B43" s="212" t="s">
        <v>26</v>
      </c>
      <c r="C43" s="253">
        <v>1590</v>
      </c>
      <c r="D43" s="209">
        <f>ИБР!AC68</f>
        <v>1.5722266303996415</v>
      </c>
      <c r="E43" s="209">
        <f>ИНП!H67</f>
        <v>1.5613662861418618</v>
      </c>
      <c r="F43" s="213">
        <f t="shared" si="17"/>
        <v>0.9930923799102556</v>
      </c>
      <c r="G43" s="209">
        <f>F43*(ИНП!$G$69)</f>
        <v>4.5927462490291395</v>
      </c>
      <c r="H43" s="210">
        <f>2*ИНП!$I$69</f>
        <v>0</v>
      </c>
      <c r="I43" s="65">
        <f>IF((G43-H43)&lt;0,0,'Параметры модели'!$F$28*(G43-H43)*C43*D43)</f>
        <v>0</v>
      </c>
      <c r="J43" s="209">
        <f>F43-I43/(D43*C43*ИНП!$G$69)</f>
        <v>0.9930923799102556</v>
      </c>
      <c r="K43" s="213">
        <f t="shared" si="18"/>
        <v>4.5927462490291395</v>
      </c>
      <c r="L43" s="214"/>
      <c r="M43" s="214"/>
      <c r="N43" s="215">
        <f t="shared" si="19"/>
        <v>1</v>
      </c>
      <c r="O43" s="151">
        <f>O45*(ИБР!B68/ИБР!B70)</f>
        <v>2769.263265572629</v>
      </c>
      <c r="P43" s="66">
        <f>F43+O43/(C43*D43*ИНП!$G$69)</f>
        <v>1.23262748514787</v>
      </c>
      <c r="Q43" s="213">
        <f t="shared" si="20"/>
        <v>5.700522301233136</v>
      </c>
      <c r="R43" s="223"/>
      <c r="S43" s="221">
        <f>IF(ИНП!$G$69*('Параметры модели'!$F$42-F43)*C43*D43+I43&lt;0,0,ИНП!$G$69*('Параметры модели'!$F$42-F43)*C43*D43+I43)</f>
        <v>14052.58774491342</v>
      </c>
      <c r="T43" s="224"/>
      <c r="U43" s="150">
        <f t="shared" si="21"/>
        <v>14052.587744913419</v>
      </c>
      <c r="V43" s="66">
        <f>F43+(O43+U43)/(C43*D43*ИНП!$G$69)</f>
        <v>2.4481450295380047</v>
      </c>
      <c r="W43" s="213">
        <f t="shared" si="22"/>
        <v>11.321916398659791</v>
      </c>
      <c r="X43" s="67"/>
      <c r="Y43" s="68"/>
      <c r="Z43" s="316">
        <f t="shared" si="23"/>
        <v>16821.851010486047</v>
      </c>
    </row>
    <row r="44" spans="1:26" ht="18.75">
      <c r="A44" s="203">
        <f t="shared" si="16"/>
        <v>4</v>
      </c>
      <c r="B44" s="216" t="s">
        <v>27</v>
      </c>
      <c r="C44" s="253">
        <v>1066</v>
      </c>
      <c r="D44" s="209">
        <f>ИБР!AC69</f>
        <v>1.6928217718940044</v>
      </c>
      <c r="E44" s="209">
        <f>ИНП!H68</f>
        <v>1.9723891179838038</v>
      </c>
      <c r="F44" s="217">
        <f t="shared" si="17"/>
        <v>1.1651487183893003</v>
      </c>
      <c r="G44" s="209">
        <f>F44*(ИНП!$G$69)</f>
        <v>5.388453797648867</v>
      </c>
      <c r="H44" s="210">
        <f>2*ИНП!$I$69</f>
        <v>0</v>
      </c>
      <c r="I44" s="65">
        <f>IF((G44-H44)&lt;0,0,'Параметры модели'!$F$28*(G44-H44)*C44*D44)</f>
        <v>0</v>
      </c>
      <c r="J44" s="209">
        <f>F44-I44/(D44*C44*ИНП!$G$69)</f>
        <v>1.1651487183893003</v>
      </c>
      <c r="K44" s="217">
        <f t="shared" si="18"/>
        <v>5.388453797648867</v>
      </c>
      <c r="L44" s="218"/>
      <c r="M44" s="218"/>
      <c r="N44" s="219">
        <f t="shared" si="19"/>
        <v>1</v>
      </c>
      <c r="O44" s="151">
        <f>O45*(ИБР!B69/ИБР!B70)</f>
        <v>1856.6255604405171</v>
      </c>
      <c r="P44" s="66">
        <f>F44+O44/(C44*D44*ИНП!$G$69)</f>
        <v>1.387619552367763</v>
      </c>
      <c r="Q44" s="217">
        <f t="shared" si="20"/>
        <v>6.417312853404892</v>
      </c>
      <c r="R44" s="225"/>
      <c r="S44" s="221">
        <f>IF(ИНП!$G$69*('Параметры модели'!$F$42-F44)*C44*D44+I44&lt;0,0,ИНП!$G$69*('Параметры модели'!$F$42-F44)*C44*D44+I44)</f>
        <v>8708.183052930734</v>
      </c>
      <c r="T44" s="226"/>
      <c r="U44" s="150">
        <f t="shared" si="21"/>
        <v>8708.183052930732</v>
      </c>
      <c r="V44" s="66">
        <f>F44+(O44+U44)/(C44*D44*ИНП!$G$69)</f>
        <v>2.431080758278853</v>
      </c>
      <c r="W44" s="217">
        <f t="shared" si="22"/>
        <v>11.242999402211822</v>
      </c>
      <c r="X44" s="69"/>
      <c r="Y44" s="70"/>
      <c r="Z44" s="316">
        <f t="shared" si="23"/>
        <v>10564.80861337125</v>
      </c>
    </row>
    <row r="45" spans="1:26" ht="16.5" thickBot="1">
      <c r="A45" s="22"/>
      <c r="B45" s="23" t="s">
        <v>30</v>
      </c>
      <c r="C45" s="40">
        <f>ИБР!B70</f>
        <v>22973</v>
      </c>
      <c r="D45" s="32">
        <f>ИБР!AC70</f>
        <v>0</v>
      </c>
      <c r="E45" s="32">
        <f>ИНП!H69</f>
        <v>1</v>
      </c>
      <c r="F45" s="33"/>
      <c r="G45" s="34"/>
      <c r="H45" s="35">
        <f>2*ИНП!$I$69</f>
        <v>0</v>
      </c>
      <c r="I45" s="31">
        <f>SUM(I39:I44)</f>
        <v>0</v>
      </c>
      <c r="J45" s="33"/>
      <c r="K45" s="34"/>
      <c r="L45" s="52">
        <f>'Параметры модели'!$F37</f>
        <v>168417.9</v>
      </c>
      <c r="M45" s="52">
        <f>'Параметры модели'!$F$38</f>
        <v>40011.5</v>
      </c>
      <c r="N45" s="30"/>
      <c r="O45" s="52">
        <f>'Параметры модели'!$F$38</f>
        <v>40011.5</v>
      </c>
      <c r="P45" s="27"/>
      <c r="Q45" s="28"/>
      <c r="R45" s="36">
        <f>'Параметры модели'!$F$39</f>
        <v>128406.4</v>
      </c>
      <c r="S45" s="52">
        <f>SUM(S39:S44)</f>
        <v>128406.40000000001</v>
      </c>
      <c r="T45" s="84">
        <f>$R$45/$S$45</f>
        <v>0.9999999999999999</v>
      </c>
      <c r="U45" s="71">
        <f>SUM(U39:U44)</f>
        <v>128406.39999999998</v>
      </c>
      <c r="V45" s="72"/>
      <c r="W45" s="73"/>
      <c r="X45" s="74"/>
      <c r="Y45" s="72"/>
      <c r="Z45" s="75">
        <f t="shared" si="23"/>
        <v>168417.89999999997</v>
      </c>
    </row>
  </sheetData>
  <sheetProtection/>
  <mergeCells count="82">
    <mergeCell ref="AB6:AB8"/>
    <mergeCell ref="W36:W38"/>
    <mergeCell ref="X36:X38"/>
    <mergeCell ref="AC7:AC8"/>
    <mergeCell ref="Y36:Y38"/>
    <mergeCell ref="Z36:Z38"/>
    <mergeCell ref="Y21:Y23"/>
    <mergeCell ref="Z21:Z23"/>
    <mergeCell ref="Z6:Z8"/>
    <mergeCell ref="Y6:Y8"/>
    <mergeCell ref="AA6:AA8"/>
    <mergeCell ref="U21:U23"/>
    <mergeCell ref="V21:V23"/>
    <mergeCell ref="Q21:Q23"/>
    <mergeCell ref="R21:R23"/>
    <mergeCell ref="U36:U38"/>
    <mergeCell ref="V36:V38"/>
    <mergeCell ref="Q6:Q8"/>
    <mergeCell ref="U6:U8"/>
    <mergeCell ref="V6:V8"/>
    <mergeCell ref="M36:M38"/>
    <mergeCell ref="N36:N38"/>
    <mergeCell ref="O36:O38"/>
    <mergeCell ref="P36:P38"/>
    <mergeCell ref="W21:W23"/>
    <mergeCell ref="X21:X23"/>
    <mergeCell ref="Q36:Q38"/>
    <mergeCell ref="R36:R38"/>
    <mergeCell ref="S36:S38"/>
    <mergeCell ref="T36:T38"/>
    <mergeCell ref="G36:G38"/>
    <mergeCell ref="H36:H38"/>
    <mergeCell ref="M21:M23"/>
    <mergeCell ref="I36:I38"/>
    <mergeCell ref="J36:J38"/>
    <mergeCell ref="K36:K38"/>
    <mergeCell ref="L36:L38"/>
    <mergeCell ref="I21:I23"/>
    <mergeCell ref="J21:J23"/>
    <mergeCell ref="K21:K23"/>
    <mergeCell ref="A36:A38"/>
    <mergeCell ref="B36:B38"/>
    <mergeCell ref="C36:C38"/>
    <mergeCell ref="D36:D38"/>
    <mergeCell ref="E36:E38"/>
    <mergeCell ref="F36:F38"/>
    <mergeCell ref="F21:F23"/>
    <mergeCell ref="G21:G23"/>
    <mergeCell ref="H21:H23"/>
    <mergeCell ref="S21:S23"/>
    <mergeCell ref="T21:T23"/>
    <mergeCell ref="N21:N23"/>
    <mergeCell ref="O21:O23"/>
    <mergeCell ref="P21:P23"/>
    <mergeCell ref="L21:L23"/>
    <mergeCell ref="W6:W8"/>
    <mergeCell ref="X6:X8"/>
    <mergeCell ref="A21:A23"/>
    <mergeCell ref="B21:B23"/>
    <mergeCell ref="C21:C23"/>
    <mergeCell ref="D21:D23"/>
    <mergeCell ref="E21:E23"/>
    <mergeCell ref="F6:F8"/>
    <mergeCell ref="G6:G8"/>
    <mergeCell ref="H6:H8"/>
    <mergeCell ref="R6:R8"/>
    <mergeCell ref="S6:S8"/>
    <mergeCell ref="T6:T8"/>
    <mergeCell ref="M6:M8"/>
    <mergeCell ref="N6:N8"/>
    <mergeCell ref="O6:O8"/>
    <mergeCell ref="P6:P8"/>
    <mergeCell ref="AD6:AD8"/>
    <mergeCell ref="A6:A8"/>
    <mergeCell ref="B6:B8"/>
    <mergeCell ref="C6:C8"/>
    <mergeCell ref="D6:D8"/>
    <mergeCell ref="I6:I8"/>
    <mergeCell ref="J6:J8"/>
    <mergeCell ref="K6:K8"/>
    <mergeCell ref="L6:L8"/>
    <mergeCell ref="E6:E8"/>
  </mergeCells>
  <printOptions/>
  <pageMargins left="0.07874015748031496" right="0" top="0.3937007874015748" bottom="0.1968503937007874" header="0.11811023622047245" footer="0.31496062992125984"/>
  <pageSetup fitToWidth="2" fitToHeight="1" horizontalDpi="600" verticalDpi="600" orientation="landscape" paperSize="9" scale="57" r:id="rId1"/>
  <headerFooter alignWithMargins="0">
    <oddHeader>&amp;L&amp;D&amp;T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9.125" style="0" customWidth="1"/>
    <col min="2" max="2" width="10.125" style="0" customWidth="1"/>
    <col min="3" max="3" width="6.75390625" style="0" customWidth="1"/>
    <col min="4" max="4" width="11.75390625" style="0" customWidth="1"/>
    <col min="5" max="5" width="11.625" style="0" customWidth="1"/>
    <col min="6" max="6" width="11.25390625" style="0" customWidth="1"/>
    <col min="7" max="8" width="10.75390625" style="0" customWidth="1"/>
    <col min="9" max="10" width="11.00390625" style="0" customWidth="1"/>
    <col min="11" max="11" width="10.375" style="0" customWidth="1"/>
    <col min="12" max="12" width="10.25390625" style="0" customWidth="1"/>
    <col min="13" max="13" width="11.25390625" style="0" bestFit="1" customWidth="1"/>
    <col min="14" max="14" width="10.25390625" style="0" customWidth="1"/>
  </cols>
  <sheetData>
    <row r="1" spans="1:14" ht="18.75">
      <c r="A1" s="365" t="s">
        <v>105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6" ht="91.5" customHeight="1">
      <c r="A2" s="245" t="s">
        <v>89</v>
      </c>
      <c r="B2" s="246" t="s">
        <v>90</v>
      </c>
      <c r="C2" s="246" t="s">
        <v>91</v>
      </c>
      <c r="D2" s="246" t="s">
        <v>92</v>
      </c>
      <c r="E2" s="251" t="s">
        <v>102</v>
      </c>
      <c r="F2" s="246" t="s">
        <v>93</v>
      </c>
      <c r="G2" s="246" t="s">
        <v>94</v>
      </c>
      <c r="H2" s="246" t="s">
        <v>95</v>
      </c>
      <c r="I2" s="251" t="s">
        <v>104</v>
      </c>
      <c r="J2" s="246" t="s">
        <v>96</v>
      </c>
      <c r="K2" s="246" t="s">
        <v>97</v>
      </c>
      <c r="L2" s="246" t="s">
        <v>98</v>
      </c>
      <c r="M2" s="251" t="s">
        <v>103</v>
      </c>
      <c r="N2" s="310" t="s">
        <v>99</v>
      </c>
      <c r="O2" s="294"/>
      <c r="P2" s="295"/>
    </row>
    <row r="3" spans="1:14" ht="15.75">
      <c r="A3" s="291" t="s">
        <v>22</v>
      </c>
      <c r="B3" s="247">
        <v>295041</v>
      </c>
      <c r="C3" s="293">
        <v>0.1</v>
      </c>
      <c r="D3" s="247">
        <v>311353.1</v>
      </c>
      <c r="E3" s="250">
        <f aca="true" t="shared" si="0" ref="E3:E8">B$9*C$9*(D3/D$9)</f>
        <v>28459.039317062987</v>
      </c>
      <c r="F3" s="247">
        <v>1526</v>
      </c>
      <c r="G3" s="293">
        <v>1</v>
      </c>
      <c r="H3" s="247">
        <v>855</v>
      </c>
      <c r="I3" s="250">
        <f aca="true" t="shared" si="1" ref="I3:I8">F$9*G$9*(H3/H$9)</f>
        <v>1179.0137195121952</v>
      </c>
      <c r="J3" s="247">
        <v>7740</v>
      </c>
      <c r="K3" s="293">
        <v>1</v>
      </c>
      <c r="L3" s="247">
        <v>7430</v>
      </c>
      <c r="M3" s="250">
        <f aca="true" t="shared" si="2" ref="M3:M8">J$9*K$9*(L3/L$9)</f>
        <v>5500.76417419885</v>
      </c>
      <c r="N3" s="311">
        <f aca="true" t="shared" si="3" ref="N3:N8">SUM(E3+I3+M3)</f>
        <v>35138.81721077403</v>
      </c>
    </row>
    <row r="4" spans="1:14" ht="15.75">
      <c r="A4" s="291" t="s">
        <v>23</v>
      </c>
      <c r="B4" s="247">
        <v>170000</v>
      </c>
      <c r="C4" s="293">
        <v>0.1</v>
      </c>
      <c r="D4" s="247">
        <v>208030.6</v>
      </c>
      <c r="E4" s="250">
        <f t="shared" si="0"/>
        <v>19014.909517689735</v>
      </c>
      <c r="F4" s="247">
        <v>703.8</v>
      </c>
      <c r="G4" s="293">
        <v>1</v>
      </c>
      <c r="H4" s="247">
        <v>616</v>
      </c>
      <c r="I4" s="250">
        <f t="shared" si="1"/>
        <v>849.4414634146342</v>
      </c>
      <c r="J4" s="247">
        <v>3650</v>
      </c>
      <c r="K4" s="293">
        <v>1</v>
      </c>
      <c r="L4" s="247">
        <v>7654</v>
      </c>
      <c r="M4" s="250">
        <f t="shared" si="2"/>
        <v>5666.601479046837</v>
      </c>
      <c r="N4" s="311">
        <f t="shared" si="3"/>
        <v>25530.952460151206</v>
      </c>
    </row>
    <row r="5" spans="1:14" ht="15.75">
      <c r="A5" s="291" t="s">
        <v>24</v>
      </c>
      <c r="B5" s="247">
        <v>61000</v>
      </c>
      <c r="C5" s="293">
        <v>0.1</v>
      </c>
      <c r="D5" s="247">
        <v>56515.8</v>
      </c>
      <c r="E5" s="250">
        <f>B$9*C$9*(D5/D$9)</f>
        <v>5165.792067704701</v>
      </c>
      <c r="F5" s="247">
        <v>250</v>
      </c>
      <c r="G5" s="293">
        <v>1</v>
      </c>
      <c r="H5" s="247">
        <v>276</v>
      </c>
      <c r="I5" s="250">
        <f t="shared" si="1"/>
        <v>380.5939024390245</v>
      </c>
      <c r="J5" s="247">
        <v>1003</v>
      </c>
      <c r="K5" s="293">
        <v>1</v>
      </c>
      <c r="L5" s="247">
        <v>1443</v>
      </c>
      <c r="M5" s="250">
        <f t="shared" si="2"/>
        <v>1068.3179950698438</v>
      </c>
      <c r="N5" s="311">
        <f t="shared" si="3"/>
        <v>6614.70396521357</v>
      </c>
    </row>
    <row r="6" spans="1:14" ht="15.75">
      <c r="A6" s="291" t="s">
        <v>25</v>
      </c>
      <c r="B6" s="247">
        <v>171318</v>
      </c>
      <c r="C6" s="293">
        <v>0.1</v>
      </c>
      <c r="D6" s="247">
        <v>207373.7</v>
      </c>
      <c r="E6" s="250">
        <f t="shared" si="0"/>
        <v>18954.865975719615</v>
      </c>
      <c r="F6" s="247">
        <v>125</v>
      </c>
      <c r="G6" s="293">
        <v>1</v>
      </c>
      <c r="H6" s="247">
        <v>111</v>
      </c>
      <c r="I6" s="250">
        <f t="shared" si="1"/>
        <v>153.06493902439027</v>
      </c>
      <c r="J6" s="247">
        <v>105</v>
      </c>
      <c r="K6" s="293">
        <v>1</v>
      </c>
      <c r="L6" s="247">
        <v>228</v>
      </c>
      <c r="M6" s="250">
        <f t="shared" si="2"/>
        <v>168.7986852917009</v>
      </c>
      <c r="N6" s="311">
        <f>SUM(E6+I6+M6)</f>
        <v>19276.729600035706</v>
      </c>
    </row>
    <row r="7" spans="1:14" ht="15.75">
      <c r="A7" s="291" t="s">
        <v>101</v>
      </c>
      <c r="B7" s="247">
        <v>125103</v>
      </c>
      <c r="C7" s="293">
        <v>0.1</v>
      </c>
      <c r="D7" s="247">
        <v>124249.2</v>
      </c>
      <c r="E7" s="250">
        <f t="shared" si="0"/>
        <v>11356.921989579108</v>
      </c>
      <c r="F7" s="247">
        <v>64</v>
      </c>
      <c r="G7" s="293">
        <v>1</v>
      </c>
      <c r="H7" s="247">
        <v>50</v>
      </c>
      <c r="I7" s="250">
        <f t="shared" si="1"/>
        <v>68.94817073170732</v>
      </c>
      <c r="J7" s="247">
        <v>98</v>
      </c>
      <c r="K7" s="293">
        <v>1</v>
      </c>
      <c r="L7" s="247">
        <v>159</v>
      </c>
      <c r="M7" s="250">
        <f t="shared" si="2"/>
        <v>117.71487263763353</v>
      </c>
      <c r="N7" s="311">
        <f t="shared" si="3"/>
        <v>11543.58503294845</v>
      </c>
    </row>
    <row r="8" spans="1:14" ht="15.75">
      <c r="A8" s="291" t="s">
        <v>27</v>
      </c>
      <c r="B8" s="247">
        <v>103064</v>
      </c>
      <c r="C8" s="293">
        <v>0.1</v>
      </c>
      <c r="D8" s="247">
        <v>105039.5</v>
      </c>
      <c r="E8" s="250">
        <f t="shared" si="0"/>
        <v>9601.071132243867</v>
      </c>
      <c r="F8" s="247">
        <v>45</v>
      </c>
      <c r="G8" s="293">
        <v>1</v>
      </c>
      <c r="H8" s="247">
        <v>60</v>
      </c>
      <c r="I8" s="250">
        <f t="shared" si="1"/>
        <v>82.73780487804878</v>
      </c>
      <c r="J8" s="247">
        <v>18</v>
      </c>
      <c r="K8" s="293">
        <v>1</v>
      </c>
      <c r="L8" s="247">
        <v>124</v>
      </c>
      <c r="M8" s="250">
        <f t="shared" si="2"/>
        <v>91.80279375513558</v>
      </c>
      <c r="N8" s="311">
        <f t="shared" si="3"/>
        <v>9775.611730877052</v>
      </c>
    </row>
    <row r="9" spans="1:14" ht="33" customHeight="1">
      <c r="A9" s="292" t="s">
        <v>100</v>
      </c>
      <c r="B9" s="248">
        <f>SUM(B3:B8)</f>
        <v>925526</v>
      </c>
      <c r="C9" s="249">
        <v>0.1</v>
      </c>
      <c r="D9" s="248">
        <f>SUM(D3:D8)</f>
        <v>1012561.8999999999</v>
      </c>
      <c r="E9" s="252">
        <f>SUM(E3:E8)</f>
        <v>92552.6</v>
      </c>
      <c r="F9" s="248">
        <f>SUM(F3:F8)</f>
        <v>2713.8</v>
      </c>
      <c r="G9" s="249">
        <v>1</v>
      </c>
      <c r="H9" s="248">
        <f>SUM(H3:H8)</f>
        <v>1968</v>
      </c>
      <c r="I9" s="252">
        <f>SUM(I3:I8)</f>
        <v>2713.8</v>
      </c>
      <c r="J9" s="248">
        <f>SUM(J3:J8)</f>
        <v>12614</v>
      </c>
      <c r="K9" s="249">
        <v>1</v>
      </c>
      <c r="L9" s="248">
        <f>SUM(L3:L8)</f>
        <v>17038</v>
      </c>
      <c r="M9" s="252">
        <f>SUM(M3:M8)</f>
        <v>12614</v>
      </c>
      <c r="N9" s="312">
        <f>SUM(N3:N8)</f>
        <v>107880.40000000001</v>
      </c>
    </row>
    <row r="12" spans="1:14" ht="18.75">
      <c r="A12" s="365" t="s">
        <v>106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89.25">
      <c r="A13" s="245" t="s">
        <v>89</v>
      </c>
      <c r="B13" s="246" t="s">
        <v>90</v>
      </c>
      <c r="C13" s="246" t="s">
        <v>91</v>
      </c>
      <c r="D13" s="246" t="s">
        <v>92</v>
      </c>
      <c r="E13" s="251" t="s">
        <v>102</v>
      </c>
      <c r="F13" s="246" t="s">
        <v>93</v>
      </c>
      <c r="G13" s="246" t="s">
        <v>94</v>
      </c>
      <c r="H13" s="246" t="s">
        <v>95</v>
      </c>
      <c r="I13" s="251" t="s">
        <v>104</v>
      </c>
      <c r="J13" s="246" t="s">
        <v>96</v>
      </c>
      <c r="K13" s="246" t="s">
        <v>97</v>
      </c>
      <c r="L13" s="246" t="s">
        <v>98</v>
      </c>
      <c r="M13" s="251" t="s">
        <v>103</v>
      </c>
      <c r="N13" s="310" t="s">
        <v>99</v>
      </c>
    </row>
    <row r="14" spans="1:14" ht="15.75">
      <c r="A14" s="291" t="s">
        <v>22</v>
      </c>
      <c r="B14" s="247">
        <v>295041</v>
      </c>
      <c r="C14" s="293">
        <v>0.1</v>
      </c>
      <c r="D14" s="247">
        <v>311353.1</v>
      </c>
      <c r="E14" s="250">
        <f aca="true" t="shared" si="4" ref="E14:E19">B$20*C$20*(D14/D$20)</f>
        <v>28459.039317062987</v>
      </c>
      <c r="F14" s="247">
        <v>1542</v>
      </c>
      <c r="G14" s="293">
        <v>1</v>
      </c>
      <c r="H14" s="247">
        <v>855</v>
      </c>
      <c r="I14" s="250">
        <f aca="true" t="shared" si="5" ref="I14:I19">F$20*G$20*(H14/H$20)</f>
        <v>1206.4275914634147</v>
      </c>
      <c r="J14" s="247">
        <v>7830</v>
      </c>
      <c r="K14" s="293">
        <v>1</v>
      </c>
      <c r="L14" s="247">
        <v>7430</v>
      </c>
      <c r="M14" s="250">
        <f aca="true" t="shared" si="6" ref="M14:M19">J$20*K$20*(L14/L$20)</f>
        <v>5579.695386782486</v>
      </c>
      <c r="N14" s="311">
        <f aca="true" t="shared" si="7" ref="N14:N19">SUM(E14+I14+M14)</f>
        <v>35245.16229530889</v>
      </c>
    </row>
    <row r="15" spans="1:14" ht="15.75">
      <c r="A15" s="291" t="s">
        <v>23</v>
      </c>
      <c r="B15" s="247">
        <v>170000</v>
      </c>
      <c r="C15" s="293">
        <v>0.1</v>
      </c>
      <c r="D15" s="247">
        <v>208030.6</v>
      </c>
      <c r="E15" s="250">
        <f t="shared" si="4"/>
        <v>19014.909517689735</v>
      </c>
      <c r="F15" s="247">
        <v>717.9</v>
      </c>
      <c r="G15" s="293">
        <v>1</v>
      </c>
      <c r="H15" s="247">
        <v>616</v>
      </c>
      <c r="I15" s="250">
        <f t="shared" si="5"/>
        <v>869.1922764227642</v>
      </c>
      <c r="J15" s="247">
        <v>3697</v>
      </c>
      <c r="K15" s="293">
        <v>1</v>
      </c>
      <c r="L15" s="247">
        <v>7654</v>
      </c>
      <c r="M15" s="250">
        <f t="shared" si="6"/>
        <v>5747.912313651837</v>
      </c>
      <c r="N15" s="311">
        <f t="shared" si="7"/>
        <v>25632.014107764335</v>
      </c>
    </row>
    <row r="16" spans="1:14" ht="15.75">
      <c r="A16" s="291" t="s">
        <v>24</v>
      </c>
      <c r="B16" s="247">
        <v>61000</v>
      </c>
      <c r="C16" s="293">
        <v>0.1</v>
      </c>
      <c r="D16" s="247">
        <v>56515.8</v>
      </c>
      <c r="E16" s="250">
        <f t="shared" si="4"/>
        <v>5165.792067704701</v>
      </c>
      <c r="F16" s="247">
        <v>270</v>
      </c>
      <c r="G16" s="293">
        <v>1</v>
      </c>
      <c r="H16" s="247">
        <v>276</v>
      </c>
      <c r="I16" s="250">
        <f t="shared" si="5"/>
        <v>389.4432926829269</v>
      </c>
      <c r="J16" s="247">
        <v>1033</v>
      </c>
      <c r="K16" s="293">
        <v>1</v>
      </c>
      <c r="L16" s="247">
        <v>1443</v>
      </c>
      <c r="M16" s="250">
        <f t="shared" si="6"/>
        <v>1083.6474351449701</v>
      </c>
      <c r="N16" s="311">
        <f t="shared" si="7"/>
        <v>6638.882795532598</v>
      </c>
    </row>
    <row r="17" spans="1:14" ht="15.75">
      <c r="A17" s="291" t="s">
        <v>25</v>
      </c>
      <c r="B17" s="247">
        <v>171318</v>
      </c>
      <c r="C17" s="293">
        <v>0.1</v>
      </c>
      <c r="D17" s="247">
        <v>207373.7</v>
      </c>
      <c r="E17" s="250">
        <f t="shared" si="4"/>
        <v>18954.865975719615</v>
      </c>
      <c r="F17" s="247">
        <v>130</v>
      </c>
      <c r="G17" s="293">
        <v>1</v>
      </c>
      <c r="H17" s="247">
        <v>111</v>
      </c>
      <c r="I17" s="250">
        <f t="shared" si="5"/>
        <v>156.62393292682927</v>
      </c>
      <c r="J17" s="247">
        <v>111</v>
      </c>
      <c r="K17" s="293">
        <v>1</v>
      </c>
      <c r="L17" s="247">
        <v>228</v>
      </c>
      <c r="M17" s="250">
        <f t="shared" si="6"/>
        <v>171.2208005634464</v>
      </c>
      <c r="N17" s="311">
        <f t="shared" si="7"/>
        <v>19282.71070920989</v>
      </c>
    </row>
    <row r="18" spans="1:14" ht="15.75">
      <c r="A18" s="291" t="s">
        <v>101</v>
      </c>
      <c r="B18" s="247">
        <v>125103</v>
      </c>
      <c r="C18" s="293">
        <v>0.1</v>
      </c>
      <c r="D18" s="247">
        <v>124249.2</v>
      </c>
      <c r="E18" s="250">
        <f t="shared" si="4"/>
        <v>11356.921989579108</v>
      </c>
      <c r="F18" s="247">
        <v>68</v>
      </c>
      <c r="G18" s="293">
        <v>1</v>
      </c>
      <c r="H18" s="247">
        <v>50</v>
      </c>
      <c r="I18" s="250">
        <f t="shared" si="5"/>
        <v>70.55132113821138</v>
      </c>
      <c r="J18" s="247">
        <v>106</v>
      </c>
      <c r="K18" s="293">
        <v>1</v>
      </c>
      <c r="L18" s="247">
        <v>159</v>
      </c>
      <c r="M18" s="250">
        <f t="shared" si="6"/>
        <v>119.40397934029816</v>
      </c>
      <c r="N18" s="311">
        <f t="shared" si="7"/>
        <v>11546.877290057619</v>
      </c>
    </row>
    <row r="19" spans="1:14" ht="15.75">
      <c r="A19" s="291" t="s">
        <v>27</v>
      </c>
      <c r="B19" s="247">
        <v>103064</v>
      </c>
      <c r="C19" s="293">
        <v>0.1</v>
      </c>
      <c r="D19" s="247">
        <v>105039.5</v>
      </c>
      <c r="E19" s="250">
        <f t="shared" si="4"/>
        <v>9601.071132243867</v>
      </c>
      <c r="F19" s="247">
        <v>49</v>
      </c>
      <c r="G19" s="293">
        <v>1</v>
      </c>
      <c r="H19" s="247">
        <v>60</v>
      </c>
      <c r="I19" s="250">
        <f t="shared" si="5"/>
        <v>84.66158536585365</v>
      </c>
      <c r="J19" s="247">
        <v>18</v>
      </c>
      <c r="K19" s="293">
        <v>1</v>
      </c>
      <c r="L19" s="247">
        <v>124</v>
      </c>
      <c r="M19" s="250">
        <f t="shared" si="6"/>
        <v>93.12008451696208</v>
      </c>
      <c r="N19" s="311">
        <f t="shared" si="7"/>
        <v>9778.852802126683</v>
      </c>
    </row>
    <row r="20" spans="1:14" ht="36.75" customHeight="1">
      <c r="A20" s="292" t="s">
        <v>100</v>
      </c>
      <c r="B20" s="248">
        <f>SUM(B14:B19)</f>
        <v>925526</v>
      </c>
      <c r="C20" s="249">
        <v>0.1</v>
      </c>
      <c r="D20" s="248">
        <f>SUM(D14:D19)</f>
        <v>1012561.8999999999</v>
      </c>
      <c r="E20" s="252">
        <f>SUM(E14:E19)</f>
        <v>92552.6</v>
      </c>
      <c r="F20" s="248">
        <f>SUM(F14:F19)</f>
        <v>2776.9</v>
      </c>
      <c r="G20" s="249">
        <v>1</v>
      </c>
      <c r="H20" s="248">
        <f>SUM(H14:H19)</f>
        <v>1968</v>
      </c>
      <c r="I20" s="252">
        <f>SUM(I14:I19)</f>
        <v>2776.8999999999996</v>
      </c>
      <c r="J20" s="248">
        <f>SUM(J14:J19)</f>
        <v>12795</v>
      </c>
      <c r="K20" s="249">
        <v>1</v>
      </c>
      <c r="L20" s="248">
        <f>SUM(L14:L19)</f>
        <v>17038</v>
      </c>
      <c r="M20" s="252">
        <f>SUM(M14:M19)</f>
        <v>12795.000000000002</v>
      </c>
      <c r="N20" s="312">
        <f>SUM(N14:N19)</f>
        <v>108124.50000000001</v>
      </c>
    </row>
    <row r="23" spans="1:14" ht="18.75">
      <c r="A23" s="365" t="s">
        <v>107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</row>
    <row r="24" spans="1:14" ht="89.25">
      <c r="A24" s="245" t="s">
        <v>89</v>
      </c>
      <c r="B24" s="246" t="s">
        <v>90</v>
      </c>
      <c r="C24" s="246" t="s">
        <v>91</v>
      </c>
      <c r="D24" s="246" t="s">
        <v>92</v>
      </c>
      <c r="E24" s="313" t="s">
        <v>102</v>
      </c>
      <c r="F24" s="246" t="s">
        <v>93</v>
      </c>
      <c r="G24" s="246" t="s">
        <v>94</v>
      </c>
      <c r="H24" s="246" t="s">
        <v>95</v>
      </c>
      <c r="I24" s="313" t="s">
        <v>104</v>
      </c>
      <c r="J24" s="246" t="s">
        <v>96</v>
      </c>
      <c r="K24" s="246" t="s">
        <v>97</v>
      </c>
      <c r="L24" s="246" t="s">
        <v>98</v>
      </c>
      <c r="M24" s="313" t="s">
        <v>103</v>
      </c>
      <c r="N24" s="310" t="s">
        <v>99</v>
      </c>
    </row>
    <row r="25" spans="1:14" ht="15.75">
      <c r="A25" s="291" t="s">
        <v>22</v>
      </c>
      <c r="B25" s="247">
        <v>295041</v>
      </c>
      <c r="C25" s="293">
        <v>0.1</v>
      </c>
      <c r="D25" s="247">
        <v>311353.1</v>
      </c>
      <c r="E25" s="309">
        <f aca="true" t="shared" si="8" ref="E25:E30">B$31*C$31*(D25/D$31)</f>
        <v>28459.039317062987</v>
      </c>
      <c r="F25" s="247">
        <v>1570</v>
      </c>
      <c r="G25" s="293">
        <v>1</v>
      </c>
      <c r="H25" s="247">
        <v>855</v>
      </c>
      <c r="I25" s="309">
        <f aca="true" t="shared" si="9" ref="I25:I30">F$31*G$31*(H25/H$31)</f>
        <v>1234.7972560975609</v>
      </c>
      <c r="J25" s="247">
        <v>7910</v>
      </c>
      <c r="K25" s="293">
        <v>1</v>
      </c>
      <c r="L25" s="247">
        <v>7430</v>
      </c>
      <c r="M25" s="309">
        <f aca="true" t="shared" si="10" ref="M25:M30">J$31*K$31*(L25/L$31)</f>
        <v>5656.446179129006</v>
      </c>
      <c r="N25" s="311">
        <f aca="true" t="shared" si="11" ref="N25:N30">SUM(E25+I25+M25)</f>
        <v>35350.28275228955</v>
      </c>
    </row>
    <row r="26" spans="1:14" ht="15.75">
      <c r="A26" s="291" t="s">
        <v>23</v>
      </c>
      <c r="B26" s="247">
        <v>170000</v>
      </c>
      <c r="C26" s="293">
        <v>0.1</v>
      </c>
      <c r="D26" s="247">
        <v>208030.6</v>
      </c>
      <c r="E26" s="309">
        <f t="shared" si="8"/>
        <v>19014.909517689735</v>
      </c>
      <c r="F26" s="247">
        <v>732.2</v>
      </c>
      <c r="G26" s="293">
        <v>1</v>
      </c>
      <c r="H26" s="247">
        <v>616</v>
      </c>
      <c r="I26" s="309">
        <f t="shared" si="9"/>
        <v>889.631707317073</v>
      </c>
      <c r="J26" s="247">
        <v>3752</v>
      </c>
      <c r="K26" s="293">
        <v>1</v>
      </c>
      <c r="L26" s="247">
        <v>7654</v>
      </c>
      <c r="M26" s="309">
        <f t="shared" si="10"/>
        <v>5826.976992604767</v>
      </c>
      <c r="N26" s="311">
        <f t="shared" si="11"/>
        <v>25731.518217611574</v>
      </c>
    </row>
    <row r="27" spans="1:14" ht="15.75">
      <c r="A27" s="291" t="s">
        <v>24</v>
      </c>
      <c r="B27" s="247">
        <v>61000</v>
      </c>
      <c r="C27" s="293">
        <v>0.1</v>
      </c>
      <c r="D27" s="247">
        <v>56515.8</v>
      </c>
      <c r="E27" s="309">
        <f t="shared" si="8"/>
        <v>5165.792067704701</v>
      </c>
      <c r="F27" s="247">
        <v>280</v>
      </c>
      <c r="G27" s="293">
        <v>1</v>
      </c>
      <c r="H27" s="247">
        <v>276</v>
      </c>
      <c r="I27" s="309">
        <f t="shared" si="9"/>
        <v>398.60121951219514</v>
      </c>
      <c r="J27" s="247">
        <v>1062</v>
      </c>
      <c r="K27" s="293">
        <v>1</v>
      </c>
      <c r="L27" s="247">
        <v>1443</v>
      </c>
      <c r="M27" s="309">
        <f t="shared" si="10"/>
        <v>1098.5534100246507</v>
      </c>
      <c r="N27" s="311">
        <f t="shared" si="11"/>
        <v>6662.946697241547</v>
      </c>
    </row>
    <row r="28" spans="1:14" ht="15.75">
      <c r="A28" s="291" t="s">
        <v>25</v>
      </c>
      <c r="B28" s="247">
        <v>171318</v>
      </c>
      <c r="C28" s="293">
        <v>0.1</v>
      </c>
      <c r="D28" s="247">
        <v>207373.7</v>
      </c>
      <c r="E28" s="309">
        <f t="shared" si="8"/>
        <v>18954.865975719615</v>
      </c>
      <c r="F28" s="247">
        <v>133</v>
      </c>
      <c r="G28" s="293">
        <v>1</v>
      </c>
      <c r="H28" s="247">
        <v>111</v>
      </c>
      <c r="I28" s="309">
        <f t="shared" si="9"/>
        <v>160.30701219512196</v>
      </c>
      <c r="J28" s="247">
        <v>116</v>
      </c>
      <c r="K28" s="293">
        <v>1</v>
      </c>
      <c r="L28" s="247">
        <v>228</v>
      </c>
      <c r="M28" s="309">
        <f t="shared" si="10"/>
        <v>173.5760065735415</v>
      </c>
      <c r="N28" s="311">
        <f t="shared" si="11"/>
        <v>19288.748994488276</v>
      </c>
    </row>
    <row r="29" spans="1:14" ht="15.75">
      <c r="A29" s="291" t="s">
        <v>101</v>
      </c>
      <c r="B29" s="247">
        <v>125103</v>
      </c>
      <c r="C29" s="293">
        <v>0.1</v>
      </c>
      <c r="D29" s="247">
        <v>124249.2</v>
      </c>
      <c r="E29" s="309">
        <f t="shared" si="8"/>
        <v>11356.921989579108</v>
      </c>
      <c r="F29" s="247">
        <v>73</v>
      </c>
      <c r="G29" s="293">
        <v>1</v>
      </c>
      <c r="H29" s="247">
        <v>50</v>
      </c>
      <c r="I29" s="309">
        <f t="shared" si="9"/>
        <v>72.21036585365853</v>
      </c>
      <c r="J29" s="247">
        <v>113</v>
      </c>
      <c r="K29" s="293">
        <v>1</v>
      </c>
      <c r="L29" s="247">
        <v>159</v>
      </c>
      <c r="M29" s="309">
        <f t="shared" si="10"/>
        <v>121.04642563681183</v>
      </c>
      <c r="N29" s="311">
        <f t="shared" si="11"/>
        <v>11550.178781069579</v>
      </c>
    </row>
    <row r="30" spans="1:14" ht="15.75">
      <c r="A30" s="291" t="s">
        <v>27</v>
      </c>
      <c r="B30" s="247">
        <v>103064</v>
      </c>
      <c r="C30" s="293">
        <v>0.1</v>
      </c>
      <c r="D30" s="247">
        <v>105039.5</v>
      </c>
      <c r="E30" s="309">
        <f t="shared" si="8"/>
        <v>9601.071132243867</v>
      </c>
      <c r="F30" s="247">
        <v>54</v>
      </c>
      <c r="G30" s="293">
        <v>1</v>
      </c>
      <c r="H30" s="247">
        <v>60</v>
      </c>
      <c r="I30" s="309">
        <f t="shared" si="9"/>
        <v>86.65243902439023</v>
      </c>
      <c r="J30" s="247">
        <v>18</v>
      </c>
      <c r="K30" s="293">
        <v>1</v>
      </c>
      <c r="L30" s="247">
        <v>124</v>
      </c>
      <c r="M30" s="309">
        <f t="shared" si="10"/>
        <v>94.40098603122432</v>
      </c>
      <c r="N30" s="311">
        <f t="shared" si="11"/>
        <v>9782.124557299481</v>
      </c>
    </row>
    <row r="31" spans="1:14" ht="31.5">
      <c r="A31" s="292" t="s">
        <v>100</v>
      </c>
      <c r="B31" s="248">
        <f>SUM(B25:B30)</f>
        <v>925526</v>
      </c>
      <c r="C31" s="249">
        <v>0.1</v>
      </c>
      <c r="D31" s="248">
        <f>SUM(D25:D30)</f>
        <v>1012561.8999999999</v>
      </c>
      <c r="E31" s="314">
        <f>SUM(E25:E30)</f>
        <v>92552.6</v>
      </c>
      <c r="F31" s="248">
        <f>SUM(F25:F30)</f>
        <v>2842.2</v>
      </c>
      <c r="G31" s="249">
        <v>1</v>
      </c>
      <c r="H31" s="248">
        <f>SUM(H25:H30)</f>
        <v>1968</v>
      </c>
      <c r="I31" s="314">
        <f>SUM(I25:I30)</f>
        <v>2842.2</v>
      </c>
      <c r="J31" s="248">
        <f>SUM(J25:J30)</f>
        <v>12971</v>
      </c>
      <c r="K31" s="249">
        <v>1</v>
      </c>
      <c r="L31" s="248">
        <f>SUM(L25:L30)</f>
        <v>17038</v>
      </c>
      <c r="M31" s="314">
        <f>SUM(M25:M30)</f>
        <v>12971</v>
      </c>
      <c r="N31" s="312">
        <f>SUM(N25:N30)</f>
        <v>108365.80000000002</v>
      </c>
    </row>
  </sheetData>
  <sheetProtection/>
  <mergeCells count="3">
    <mergeCell ref="A1:N1"/>
    <mergeCell ref="A12:N12"/>
    <mergeCell ref="A23:N23"/>
  </mergeCells>
  <printOptions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1</cp:lastModifiedBy>
  <cp:lastPrinted>2017-11-07T06:24:57Z</cp:lastPrinted>
  <dcterms:created xsi:type="dcterms:W3CDTF">2004-06-18T05:29:07Z</dcterms:created>
  <dcterms:modified xsi:type="dcterms:W3CDTF">2017-11-07T06:25:32Z</dcterms:modified>
  <cp:category/>
  <cp:version/>
  <cp:contentType/>
  <cp:contentStatus/>
</cp:coreProperties>
</file>