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667" activeTab="3"/>
  </bookViews>
  <sheets>
    <sheet name="ИБР" sheetId="1" r:id="rId1"/>
    <sheet name="ИНП" sheetId="2" r:id="rId2"/>
    <sheet name="Параметры модели" sheetId="3" r:id="rId3"/>
    <sheet name="Итоговая" sheetId="4" r:id="rId4"/>
  </sheets>
  <definedNames>
    <definedName name="_xlnm.Print_Titles" localSheetId="0">'ИБР'!$A:$A</definedName>
    <definedName name="_xlnm.Print_Titles" localSheetId="1">'ИНП'!$A:$A</definedName>
    <definedName name="_xlnm.Print_Titles" localSheetId="3">'Итоговая'!$B:$B</definedName>
  </definedNames>
  <calcPr fullCalcOnLoad="1"/>
</workbook>
</file>

<file path=xl/comments1.xml><?xml version="1.0" encoding="utf-8"?>
<comments xmlns="http://schemas.openxmlformats.org/spreadsheetml/2006/main">
  <authors>
    <author>Иванов Михаил</author>
  </authors>
  <commentList>
    <comment ref="B9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Статистики от 28.05.07 № 1457</t>
        </r>
      </text>
    </comment>
    <comment ref="E9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Мониторинга от 13.06.07 №356/07
</t>
        </r>
      </text>
    </comment>
    <comment ref="F9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Мониторинга от 13.06.07 №356/07
</t>
        </r>
      </text>
    </comment>
    <comment ref="K9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статистики от 8.06.07  б/н</t>
        </r>
      </text>
    </comment>
    <comment ref="O9" authorId="0">
      <text>
        <r>
          <rPr>
            <b/>
            <sz val="9"/>
            <rFont val="Tahoma"/>
            <family val="2"/>
          </rPr>
          <t>Гаина Ольга:</t>
        </r>
        <r>
          <rPr>
            <sz val="9"/>
            <rFont val="Tahoma"/>
            <family val="2"/>
          </rPr>
          <t xml:space="preserve">
Прогноз тарифов на 2009 год. Письмо Рег. Службы по тарифам №2222/08 от 26.08.08
</t>
        </r>
      </text>
    </comment>
    <comment ref="P9" authorId="0">
      <text>
        <r>
          <rPr>
            <b/>
            <sz val="9"/>
            <rFont val="Tahoma"/>
            <family val="2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  <r>
          <rPr>
            <sz val="9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9"/>
            <rFont val="Tahoma"/>
            <family val="2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</text>
    </comment>
  </commentList>
</comments>
</file>

<file path=xl/sharedStrings.xml><?xml version="1.0" encoding="utf-8"?>
<sst xmlns="http://schemas.openxmlformats.org/spreadsheetml/2006/main" count="100" uniqueCount="81">
  <si>
    <t>Муниципальные образования</t>
  </si>
  <si>
    <t>Численность населения (чел.)</t>
  </si>
  <si>
    <t>Коэффициент дисперсности расселения</t>
  </si>
  <si>
    <t>ИБР</t>
  </si>
  <si>
    <t>ИНП</t>
  </si>
  <si>
    <t>Бюджетная обеспеченность после 1-го этапа распределения</t>
  </si>
  <si>
    <t>Трансферт 2-го этапа распределения РФФПМР(ГО) (тыс.руб.)</t>
  </si>
  <si>
    <t>Бюджетная обеспеченность после 2-го этапа распределения</t>
  </si>
  <si>
    <t>Доля средств, превышающая пороговый уровень, изымаемая в виде отрицательного трансферта (%)</t>
  </si>
  <si>
    <t>Ранг по БО (начиная с наименее обеспеченных)</t>
  </si>
  <si>
    <t>Доля сельского населения в общей чис-ти населения муниц. образования</t>
  </si>
  <si>
    <t>Численность населения (тыс.чел.)</t>
  </si>
  <si>
    <t>Численность населения проживающего в сельск.насел.пунктах с численностью населения менее 500 чел. (чел.)</t>
  </si>
  <si>
    <t>Численность сельского населения (чел.)</t>
  </si>
  <si>
    <t>Налог на доходы физических лиц</t>
  </si>
  <si>
    <t>Уровень расчетной бюджетной обеспеченности</t>
  </si>
  <si>
    <t>Критерий выравнивания бюджетной обеспеченности</t>
  </si>
  <si>
    <t>Объем части дотаций, распределяемых исходя из численности жителей (тыс.руб.)</t>
  </si>
  <si>
    <t>Объем части дотаций, распределяемых исходя из уровня расчетной бюджетной обеспеченности (тыс.руб.)</t>
  </si>
  <si>
    <t>Расчетные налоговые доходы после 1-го этапа распределения (тыс.руб.)</t>
  </si>
  <si>
    <t>Налоговый потенциал на 1 жителя в отчетном финансовом году (тыс.руб.)</t>
  </si>
  <si>
    <t>Объем средств, необходимых для доведения БО до уровня X</t>
  </si>
  <si>
    <t>Соотношение между имеющимися средствами и объемом, необходимым для доведения БО до уровня X</t>
  </si>
  <si>
    <t>г.п. Березово</t>
  </si>
  <si>
    <t>г.п. Игрим</t>
  </si>
  <si>
    <t>с.п. Саранпауль</t>
  </si>
  <si>
    <t>с.п. Светлый</t>
  </si>
  <si>
    <t>с.п. Хулимсунт</t>
  </si>
  <si>
    <t>с.п. Приполярный</t>
  </si>
  <si>
    <t>Итого по району</t>
  </si>
  <si>
    <t>Земельный налог</t>
  </si>
  <si>
    <t>Итого по поселениям</t>
  </si>
  <si>
    <t>Субсидия из бюджета поселения  (тыс.руб.)</t>
  </si>
  <si>
    <t>Пороговое значение расчетных налоговых доходов как критерий перечисления субсидий в бюджет района (тыс.руб.)</t>
  </si>
  <si>
    <t>Бюджетная обеспеченность после перечисления субсидий из бюджета поселения (тыс.руб.)</t>
  </si>
  <si>
    <t>Расчетные налоговые доходы после перечисления субсидий в бюджет района (тыс.руб.)</t>
  </si>
  <si>
    <t>Налог на имущество физических лиц</t>
  </si>
  <si>
    <t xml:space="preserve">Бюджетная обеспеченность </t>
  </si>
  <si>
    <t>Расчетные доходы в расчете на одного жителя (тыс.руб.)</t>
  </si>
  <si>
    <t>Трансферт 2-го этапа распределения РФФПП ("подтягивающий трансферт") (тыс.руб.)</t>
  </si>
  <si>
    <t>трансферт 1-го этапа распределения РФФПП ( в объеме субвенции из регионального фонда компенсации) из расчета на 1 жителя</t>
  </si>
  <si>
    <t>Доля расходов включенных в репрезентативную систему расходных обязательств (%)</t>
  </si>
  <si>
    <t>тыс. рублей</t>
  </si>
  <si>
    <t>Параметры модели межбюджетных отношений по Березовскому району</t>
  </si>
  <si>
    <t>2015 год</t>
  </si>
  <si>
    <t>2016 год</t>
  </si>
  <si>
    <t>Расчет индекса налогового потенциала поселений на 2016 год</t>
  </si>
  <si>
    <t>прогноз 2016 г.</t>
  </si>
  <si>
    <t>Налоговый потенциал 2016 года (тыс. руб.)</t>
  </si>
  <si>
    <t>Налоговый потенциал на 1 жителя на 2016 (тыс.руб.)</t>
  </si>
  <si>
    <t>Индекс налогового потенциала 2016 года</t>
  </si>
  <si>
    <t xml:space="preserve">Расчеты индексов бюджетных расходов поселений на 2016 год </t>
  </si>
  <si>
    <t>Расчет трансфертов из районного фонда финансовой поддержки поселений на 2016 год</t>
  </si>
  <si>
    <t>прогноз 2016 гг.</t>
  </si>
  <si>
    <t>Изменение объема расходных обязательств РП(СП), тыс. руб.</t>
  </si>
  <si>
    <t>индекс потребительских цен</t>
  </si>
  <si>
    <t>Коэффициент стоимости предоставления коммунальных услуг для муниципальных учреждений</t>
  </si>
  <si>
    <t>Уд.вес нас., прожив-го в сельск.насел.пунктах с чис-тью менее 500 чел. к общей чис-ти нас. муниц. Образования (%)</t>
  </si>
  <si>
    <t xml:space="preserve">Доля расходов на содержание муниципального жилого фонда </t>
  </si>
  <si>
    <t xml:space="preserve">Доля расходов на муниципальное управление и организацию оказания услуг в области культуры </t>
  </si>
  <si>
    <t xml:space="preserve">Доля других видов расходов </t>
  </si>
  <si>
    <t>коэффициент заработной платы</t>
  </si>
  <si>
    <t xml:space="preserve">Коэффициент стоимости предоставления муниципальных услуг </t>
  </si>
  <si>
    <t>Удельный вес коэффициента стоимости предоставления коммунальных услуг</t>
  </si>
  <si>
    <t>Коэффициент структуры потребителей муниципальных услуг</t>
  </si>
  <si>
    <t>Коэффициент дифференциации расходов на содержание жилого фонда</t>
  </si>
  <si>
    <t>Площадь жилого фонда</t>
  </si>
  <si>
    <t xml:space="preserve"> индекс бюджетных расходов поселений (ИБР)</t>
  </si>
  <si>
    <t>Коэффициент масштаба</t>
  </si>
  <si>
    <t xml:space="preserve"> экономически обоснованные тарифы на теплоснабжение для муниципальных учреждений</t>
  </si>
  <si>
    <t xml:space="preserve"> экономически обоснованные тарифы на водоснабжение и водоотведение для муниципальных учреждений</t>
  </si>
  <si>
    <t xml:space="preserve"> экономически обоснованные тарифы на электроэнергию для муниципальных учреждений</t>
  </si>
  <si>
    <t>Объем районного фонда финансовой поддержки не включая отрицательные трансферты (тыс.руб.)</t>
  </si>
  <si>
    <t>Финансовая помощь из районного бюджета</t>
  </si>
  <si>
    <t>Объем районного фонда финансовой поддержки поселений (тыс.руб.)</t>
  </si>
  <si>
    <t xml:space="preserve">Расчетные налоговые доходы (тыс.руб.) в расчете на одного жителя </t>
  </si>
  <si>
    <t>Итого дотации из районного фонда финансовой поддержки поселений                              (1 этап + 2 этап)</t>
  </si>
  <si>
    <t>Объем средств, распределяемых исходя из численности жителей (окружные субвенции)</t>
  </si>
  <si>
    <t>Удельный вес коэффициента заработной платы (211+213)</t>
  </si>
  <si>
    <t>Объем средств, распределяемых путем выравнивания БО                         ( окружные субсидии+ бюджет района)</t>
  </si>
  <si>
    <t>МО, имеющие право на получение указанной части дотаций             (1 - имеет право)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</si>
</sst>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0.000"/>
    <numFmt numFmtId="168" formatCode="0.0000"/>
    <numFmt numFmtId="169" formatCode="0.00000"/>
    <numFmt numFmtId="170" formatCode="#,##0.000"/>
    <numFmt numFmtId="171" formatCode="#,##0.0000"/>
    <numFmt numFmtId="172" formatCode="[$-FC19]d\ mmmm\ yyyy\ &quot;г.&quot;"/>
    <numFmt numFmtId="173" formatCode="000000"/>
    <numFmt numFmtId="174" formatCode="0.000000"/>
    <numFmt numFmtId="175" formatCode="0.0000000"/>
    <numFmt numFmtId="176" formatCode="_(* #,##0_);_(* \(#,##0\);_(* &quot;-&quot;??_);_(@_)"/>
    <numFmt numFmtId="177" formatCode="_(* #,##0.00_);_(* \(#,##0.00\);_(* &quot;-&quot;??_);_(@_)"/>
    <numFmt numFmtId="178" formatCode="_-* #,##0.0_р_._-;\-* #,##0.0_р_._-;_-* &quot;-&quot;??_р_._-;_-@_-"/>
    <numFmt numFmtId="179" formatCode="_-* #,##0_р_._-;\-* #,##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0_);_(* \(#,##0.000\);_(* &quot;-&quot;??_);_(@_)"/>
    <numFmt numFmtId="185" formatCode="_(* #,##0.0000_);_(* \(#,##0.0000\);_(* &quot;-&quot;??_);_(@_)"/>
    <numFmt numFmtId="186" formatCode="0.00000000"/>
    <numFmt numFmtId="187" formatCode="_-* #,##0.000_р_._-;\-* #,##0.000_р_._-;_-* &quot;-&quot;??_р_._-;_-@_-"/>
    <numFmt numFmtId="188" formatCode="_-* #,##0.000_р_._-;\-* #,##0.000_р_._-;_-* &quot;-&quot;?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_р_._-;\-* #,##0.0000_р_._-;_-* &quot;-&quot;??_р_._-;_-@_-"/>
    <numFmt numFmtId="193" formatCode="0.000000000"/>
    <numFmt numFmtId="194" formatCode="0.000%"/>
    <numFmt numFmtId="195" formatCode="0.0000%"/>
    <numFmt numFmtId="196" formatCode="#,##0.00000"/>
    <numFmt numFmtId="197" formatCode="_(* #,##0.0_);_(* \(#,##0.0\);_(* &quot;-&quot;??_);_(@_)"/>
    <numFmt numFmtId="198" formatCode="0.0000000000"/>
    <numFmt numFmtId="199" formatCode="0.00000000000"/>
    <numFmt numFmtId="200" formatCode="_-* #,##0.0_р_._-;\-* #,##0.0_р_._-;_-* &quot;-&quot;?_р_._-;_-@_-"/>
    <numFmt numFmtId="201" formatCode="#,##0.000_ ;\-#,##0.000\ "/>
    <numFmt numFmtId="202" formatCode="#,##0.00_ ;\-#,##0.00\ "/>
    <numFmt numFmtId="203" formatCode="_-* #,##0.00_р_._-;\-* #,##0.00_р_._-;_-* &quot;-&quot;?_р_._-;_-@_-"/>
    <numFmt numFmtId="204" formatCode="_-* #,##0.000_р_._-;\-* #,##0.000_р_._-;_-* &quot;-&quot;?_р_._-;_-@_-"/>
  </numFmts>
  <fonts count="7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11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Times New Roman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4"/>
      <color indexed="8"/>
      <name val="Times New Roman"/>
      <family val="1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  <font>
      <sz val="14"/>
      <color theme="1"/>
      <name val="Times New Roman"/>
      <family val="1"/>
    </font>
    <font>
      <sz val="10"/>
      <color theme="0"/>
      <name val="Arial Cyr"/>
      <family val="0"/>
    </font>
    <font>
      <sz val="10"/>
      <color theme="0"/>
      <name val="Arial"/>
      <family val="2"/>
    </font>
    <font>
      <b/>
      <sz val="12"/>
      <color theme="0"/>
      <name val="Arial Cyr"/>
      <family val="2"/>
    </font>
    <font>
      <b/>
      <sz val="12"/>
      <color theme="0"/>
      <name val="Arial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179" fontId="1" fillId="33" borderId="0" xfId="62" applyNumberFormat="1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70" fontId="2" fillId="33" borderId="0" xfId="0" applyNumberFormat="1" applyFont="1" applyFill="1" applyBorder="1" applyAlignment="1">
      <alignment/>
    </xf>
    <xf numFmtId="166" fontId="2" fillId="33" borderId="0" xfId="59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/>
    </xf>
    <xf numFmtId="170" fontId="2" fillId="33" borderId="0" xfId="59" applyNumberFormat="1" applyFont="1" applyFill="1" applyBorder="1" applyAlignment="1">
      <alignment/>
    </xf>
    <xf numFmtId="170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170" fontId="1" fillId="33" borderId="0" xfId="0" applyNumberFormat="1" applyFont="1" applyFill="1" applyBorder="1" applyAlignment="1">
      <alignment/>
    </xf>
    <xf numFmtId="178" fontId="2" fillId="33" borderId="0" xfId="62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4" fontId="5" fillId="33" borderId="0" xfId="62" applyNumberFormat="1" applyFont="1" applyFill="1" applyBorder="1" applyAlignment="1">
      <alignment horizontal="right"/>
    </xf>
    <xf numFmtId="166" fontId="5" fillId="33" borderId="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12" fillId="34" borderId="11" xfId="0" applyFont="1" applyFill="1" applyBorder="1" applyAlignment="1">
      <alignment/>
    </xf>
    <xf numFmtId="3" fontId="13" fillId="33" borderId="12" xfId="62" applyNumberFormat="1" applyFont="1" applyFill="1" applyBorder="1" applyAlignment="1">
      <alignment/>
    </xf>
    <xf numFmtId="3" fontId="13" fillId="33" borderId="13" xfId="62" applyNumberFormat="1" applyFont="1" applyFill="1" applyBorder="1" applyAlignment="1">
      <alignment/>
    </xf>
    <xf numFmtId="3" fontId="13" fillId="33" borderId="14" xfId="62" applyNumberFormat="1" applyFont="1" applyFill="1" applyBorder="1" applyAlignment="1">
      <alignment/>
    </xf>
    <xf numFmtId="3" fontId="13" fillId="34" borderId="11" xfId="62" applyNumberFormat="1" applyFont="1" applyFill="1" applyBorder="1" applyAlignment="1">
      <alignment/>
    </xf>
    <xf numFmtId="0" fontId="16" fillId="34" borderId="12" xfId="0" applyFont="1" applyFill="1" applyBorder="1" applyAlignment="1">
      <alignment/>
    </xf>
    <xf numFmtId="3" fontId="16" fillId="34" borderId="12" xfId="62" applyNumberFormat="1" applyFont="1" applyFill="1" applyBorder="1" applyAlignment="1">
      <alignment vertical="center" wrapText="1"/>
    </xf>
    <xf numFmtId="177" fontId="16" fillId="34" borderId="12" xfId="62" applyNumberFormat="1" applyFont="1" applyFill="1" applyBorder="1" applyAlignment="1">
      <alignment horizontal="right" vertical="center" wrapText="1"/>
    </xf>
    <xf numFmtId="167" fontId="16" fillId="34" borderId="12" xfId="0" applyNumberFormat="1" applyFont="1" applyFill="1" applyBorder="1" applyAlignment="1">
      <alignment/>
    </xf>
    <xf numFmtId="0" fontId="10" fillId="35" borderId="0" xfId="0" applyFont="1" applyFill="1" applyAlignment="1">
      <alignment/>
    </xf>
    <xf numFmtId="176" fontId="1" fillId="35" borderId="0" xfId="62" applyNumberFormat="1" applyFont="1" applyFill="1" applyAlignment="1">
      <alignment vertical="center" wrapText="1"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6" fontId="5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vertical="center" wrapText="1"/>
    </xf>
    <xf numFmtId="166" fontId="10" fillId="33" borderId="0" xfId="0" applyNumberFormat="1" applyFont="1" applyFill="1" applyBorder="1" applyAlignment="1">
      <alignment horizontal="right"/>
    </xf>
    <xf numFmtId="165" fontId="10" fillId="33" borderId="0" xfId="0" applyNumberFormat="1" applyFont="1" applyFill="1" applyBorder="1" applyAlignment="1">
      <alignment/>
    </xf>
    <xf numFmtId="0" fontId="9" fillId="33" borderId="0" xfId="54" applyFont="1" applyFill="1" applyBorder="1" applyAlignment="1">
      <alignment vertical="center" wrapText="1"/>
      <protection/>
    </xf>
    <xf numFmtId="0" fontId="0" fillId="36" borderId="12" xfId="0" applyFill="1" applyBorder="1" applyAlignment="1">
      <alignment/>
    </xf>
    <xf numFmtId="176" fontId="4" fillId="36" borderId="15" xfId="62" applyNumberFormat="1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/>
    </xf>
    <xf numFmtId="177" fontId="15" fillId="36" borderId="12" xfId="0" applyNumberFormat="1" applyFont="1" applyFill="1" applyBorder="1" applyAlignment="1">
      <alignment/>
    </xf>
    <xf numFmtId="0" fontId="15" fillId="36" borderId="12" xfId="0" applyFont="1" applyFill="1" applyBorder="1" applyAlignment="1">
      <alignment/>
    </xf>
    <xf numFmtId="164" fontId="16" fillId="34" borderId="12" xfId="62" applyNumberFormat="1" applyFont="1" applyFill="1" applyBorder="1" applyAlignment="1">
      <alignment vertical="center" wrapText="1"/>
    </xf>
    <xf numFmtId="197" fontId="16" fillId="34" borderId="12" xfId="62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/>
    </xf>
    <xf numFmtId="179" fontId="1" fillId="33" borderId="0" xfId="62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164" fontId="6" fillId="34" borderId="12" xfId="62" applyNumberFormat="1" applyFont="1" applyFill="1" applyBorder="1" applyAlignment="1">
      <alignment horizontal="center"/>
    </xf>
    <xf numFmtId="167" fontId="13" fillId="34" borderId="11" xfId="0" applyNumberFormat="1" applyFont="1" applyFill="1" applyBorder="1" applyAlignment="1">
      <alignment horizontal="center"/>
    </xf>
    <xf numFmtId="2" fontId="13" fillId="34" borderId="11" xfId="0" applyNumberFormat="1" applyFont="1" applyFill="1" applyBorder="1" applyAlignment="1">
      <alignment horizontal="center"/>
    </xf>
    <xf numFmtId="1" fontId="13" fillId="34" borderId="11" xfId="0" applyNumberFormat="1" applyFont="1" applyFill="1" applyBorder="1" applyAlignment="1">
      <alignment horizontal="center"/>
    </xf>
    <xf numFmtId="178" fontId="6" fillId="34" borderId="12" xfId="62" applyNumberFormat="1" applyFont="1" applyFill="1" applyBorder="1" applyAlignment="1">
      <alignment horizontal="center"/>
    </xf>
    <xf numFmtId="167" fontId="6" fillId="34" borderId="12" xfId="0" applyNumberFormat="1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79" fontId="18" fillId="0" borderId="0" xfId="62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66" fontId="10" fillId="33" borderId="0" xfId="0" applyNumberFormat="1" applyFont="1" applyFill="1" applyBorder="1" applyAlignment="1">
      <alignment horizontal="center" wrapText="1"/>
    </xf>
    <xf numFmtId="166" fontId="10" fillId="33" borderId="0" xfId="0" applyNumberFormat="1" applyFont="1" applyFill="1" applyBorder="1" applyAlignment="1">
      <alignment horizontal="right"/>
    </xf>
    <xf numFmtId="0" fontId="4" fillId="33" borderId="0" xfId="54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top" wrapText="1"/>
    </xf>
    <xf numFmtId="3" fontId="5" fillId="33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3" fontId="5" fillId="33" borderId="0" xfId="62" applyNumberFormat="1" applyFont="1" applyFill="1" applyBorder="1" applyAlignment="1">
      <alignment horizontal="right"/>
    </xf>
    <xf numFmtId="9" fontId="5" fillId="33" borderId="0" xfId="59" applyFont="1" applyFill="1" applyBorder="1" applyAlignment="1">
      <alignment/>
    </xf>
    <xf numFmtId="0" fontId="17" fillId="33" borderId="0" xfId="0" applyFont="1" applyFill="1" applyAlignment="1">
      <alignment/>
    </xf>
    <xf numFmtId="0" fontId="19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1" fontId="5" fillId="33" borderId="0" xfId="0" applyNumberFormat="1" applyFont="1" applyFill="1" applyBorder="1" applyAlignment="1">
      <alignment/>
    </xf>
    <xf numFmtId="1" fontId="5" fillId="33" borderId="0" xfId="59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0" fontId="5" fillId="33" borderId="0" xfId="0" applyNumberFormat="1" applyFont="1" applyFill="1" applyAlignment="1">
      <alignment/>
    </xf>
    <xf numFmtId="3" fontId="12" fillId="34" borderId="12" xfId="62" applyNumberFormat="1" applyFont="1" applyFill="1" applyBorder="1" applyAlignment="1">
      <alignment horizontal="center"/>
    </xf>
    <xf numFmtId="167" fontId="12" fillId="34" borderId="12" xfId="0" applyNumberFormat="1" applyFont="1" applyFill="1" applyBorder="1" applyAlignment="1">
      <alignment horizontal="center"/>
    </xf>
    <xf numFmtId="167" fontId="12" fillId="34" borderId="11" xfId="0" applyNumberFormat="1" applyFont="1" applyFill="1" applyBorder="1" applyAlignment="1">
      <alignment horizontal="center"/>
    </xf>
    <xf numFmtId="2" fontId="12" fillId="34" borderId="11" xfId="0" applyNumberFormat="1" applyFont="1" applyFill="1" applyBorder="1" applyAlignment="1">
      <alignment horizontal="center"/>
    </xf>
    <xf numFmtId="3" fontId="10" fillId="34" borderId="12" xfId="62" applyNumberFormat="1" applyFont="1" applyFill="1" applyBorder="1" applyAlignment="1">
      <alignment horizontal="center"/>
    </xf>
    <xf numFmtId="2" fontId="12" fillId="34" borderId="12" xfId="0" applyNumberFormat="1" applyFont="1" applyFill="1" applyBorder="1" applyAlignment="1">
      <alignment horizontal="center"/>
    </xf>
    <xf numFmtId="176" fontId="15" fillId="36" borderId="12" xfId="62" applyNumberFormat="1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0" fontId="4" fillId="13" borderId="0" xfId="0" applyFont="1" applyFill="1" applyAlignment="1">
      <alignment/>
    </xf>
    <xf numFmtId="3" fontId="2" fillId="13" borderId="0" xfId="0" applyNumberFormat="1" applyFont="1" applyFill="1" applyBorder="1" applyAlignment="1">
      <alignment/>
    </xf>
    <xf numFmtId="170" fontId="2" fillId="13" borderId="0" xfId="0" applyNumberFormat="1" applyFont="1" applyFill="1" applyBorder="1" applyAlignment="1">
      <alignment/>
    </xf>
    <xf numFmtId="166" fontId="2" fillId="13" borderId="0" xfId="59" applyNumberFormat="1" applyFont="1" applyFill="1" applyBorder="1" applyAlignment="1">
      <alignment/>
    </xf>
    <xf numFmtId="167" fontId="2" fillId="13" borderId="0" xfId="0" applyNumberFormat="1" applyFont="1" applyFill="1" applyBorder="1" applyAlignment="1">
      <alignment/>
    </xf>
    <xf numFmtId="170" fontId="2" fillId="13" borderId="0" xfId="59" applyNumberFormat="1" applyFont="1" applyFill="1" applyBorder="1" applyAlignment="1">
      <alignment/>
    </xf>
    <xf numFmtId="4" fontId="2" fillId="13" borderId="0" xfId="0" applyNumberFormat="1" applyFont="1" applyFill="1" applyBorder="1" applyAlignment="1">
      <alignment/>
    </xf>
    <xf numFmtId="3" fontId="2" fillId="12" borderId="0" xfId="0" applyNumberFormat="1" applyFont="1" applyFill="1" applyBorder="1" applyAlignment="1">
      <alignment/>
    </xf>
    <xf numFmtId="170" fontId="2" fillId="12" borderId="0" xfId="0" applyNumberFormat="1" applyFont="1" applyFill="1" applyBorder="1" applyAlignment="1">
      <alignment/>
    </xf>
    <xf numFmtId="177" fontId="16" fillId="34" borderId="12" xfId="62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78" fontId="0" fillId="33" borderId="0" xfId="62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67" fontId="13" fillId="33" borderId="17" xfId="0" applyNumberFormat="1" applyFont="1" applyFill="1" applyBorder="1" applyAlignment="1">
      <alignment/>
    </xf>
    <xf numFmtId="167" fontId="13" fillId="33" borderId="18" xfId="0" applyNumberFormat="1" applyFont="1" applyFill="1" applyBorder="1" applyAlignment="1">
      <alignment/>
    </xf>
    <xf numFmtId="167" fontId="13" fillId="33" borderId="19" xfId="0" applyNumberFormat="1" applyFont="1" applyFill="1" applyBorder="1" applyAlignment="1">
      <alignment/>
    </xf>
    <xf numFmtId="167" fontId="13" fillId="34" borderId="20" xfId="0" applyNumberFormat="1" applyFont="1" applyFill="1" applyBorder="1" applyAlignment="1">
      <alignment/>
    </xf>
    <xf numFmtId="197" fontId="15" fillId="36" borderId="12" xfId="62" applyNumberFormat="1" applyFont="1" applyFill="1" applyBorder="1" applyAlignment="1">
      <alignment horizontal="center" vertical="center" wrapText="1"/>
    </xf>
    <xf numFmtId="178" fontId="15" fillId="36" borderId="12" xfId="62" applyNumberFormat="1" applyFont="1" applyFill="1" applyBorder="1" applyAlignment="1">
      <alignment horizontal="center" vertical="center" wrapText="1"/>
    </xf>
    <xf numFmtId="197" fontId="15" fillId="36" borderId="12" xfId="0" applyNumberFormat="1" applyFont="1" applyFill="1" applyBorder="1" applyAlignment="1">
      <alignment horizontal="center"/>
    </xf>
    <xf numFmtId="177" fontId="15" fillId="36" borderId="12" xfId="0" applyNumberFormat="1" applyFont="1" applyFill="1" applyBorder="1" applyAlignment="1">
      <alignment horizontal="center"/>
    </xf>
    <xf numFmtId="167" fontId="15" fillId="36" borderId="12" xfId="0" applyNumberFormat="1" applyFont="1" applyFill="1" applyBorder="1" applyAlignment="1">
      <alignment horizontal="center"/>
    </xf>
    <xf numFmtId="164" fontId="15" fillId="36" borderId="12" xfId="0" applyNumberFormat="1" applyFont="1" applyFill="1" applyBorder="1" applyAlignment="1">
      <alignment horizontal="center"/>
    </xf>
    <xf numFmtId="164" fontId="6" fillId="37" borderId="21" xfId="0" applyNumberFormat="1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176" fontId="15" fillId="38" borderId="12" xfId="62" applyNumberFormat="1" applyFont="1" applyFill="1" applyBorder="1" applyAlignment="1">
      <alignment horizontal="center" vertical="center" wrapText="1"/>
    </xf>
    <xf numFmtId="0" fontId="15" fillId="38" borderId="12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0" fontId="9" fillId="38" borderId="12" xfId="0" applyFont="1" applyFill="1" applyBorder="1" applyAlignment="1">
      <alignment/>
    </xf>
    <xf numFmtId="0" fontId="9" fillId="38" borderId="12" xfId="0" applyFont="1" applyFill="1" applyBorder="1" applyAlignment="1">
      <alignment horizontal="center"/>
    </xf>
    <xf numFmtId="166" fontId="9" fillId="38" borderId="12" xfId="59" applyNumberFormat="1" applyFont="1" applyFill="1" applyBorder="1" applyAlignment="1">
      <alignment horizontal="center"/>
    </xf>
    <xf numFmtId="167" fontId="9" fillId="38" borderId="12" xfId="0" applyNumberFormat="1" applyFont="1" applyFill="1" applyBorder="1" applyAlignment="1">
      <alignment horizontal="center"/>
    </xf>
    <xf numFmtId="179" fontId="9" fillId="38" borderId="12" xfId="62" applyNumberFormat="1" applyFont="1" applyFill="1" applyBorder="1" applyAlignment="1">
      <alignment horizontal="center"/>
    </xf>
    <xf numFmtId="170" fontId="9" fillId="38" borderId="12" xfId="59" applyNumberFormat="1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 wrapText="1"/>
    </xf>
    <xf numFmtId="170" fontId="9" fillId="38" borderId="12" xfId="0" applyNumberFormat="1" applyFont="1" applyFill="1" applyBorder="1" applyAlignment="1">
      <alignment horizontal="center"/>
    </xf>
    <xf numFmtId="201" fontId="9" fillId="38" borderId="12" xfId="62" applyNumberFormat="1" applyFont="1" applyFill="1" applyBorder="1" applyAlignment="1">
      <alignment horizontal="center"/>
    </xf>
    <xf numFmtId="178" fontId="9" fillId="38" borderId="12" xfId="62" applyNumberFormat="1" applyFont="1" applyFill="1" applyBorder="1" applyAlignment="1">
      <alignment horizontal="center"/>
    </xf>
    <xf numFmtId="202" fontId="9" fillId="38" borderId="12" xfId="62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167" fontId="1" fillId="38" borderId="12" xfId="0" applyNumberFormat="1" applyFont="1" applyFill="1" applyBorder="1" applyAlignment="1">
      <alignment horizontal="center"/>
    </xf>
    <xf numFmtId="167" fontId="4" fillId="38" borderId="12" xfId="0" applyNumberFormat="1" applyFont="1" applyFill="1" applyBorder="1" applyAlignment="1">
      <alignment horizontal="center"/>
    </xf>
    <xf numFmtId="2" fontId="9" fillId="38" borderId="12" xfId="0" applyNumberFormat="1" applyFont="1" applyFill="1" applyBorder="1" applyAlignment="1">
      <alignment horizontal="center"/>
    </xf>
    <xf numFmtId="43" fontId="9" fillId="38" borderId="12" xfId="62" applyNumberFormat="1" applyFont="1" applyFill="1" applyBorder="1" applyAlignment="1">
      <alignment horizontal="center"/>
    </xf>
    <xf numFmtId="0" fontId="10" fillId="38" borderId="21" xfId="0" applyFont="1" applyFill="1" applyBorder="1" applyAlignment="1">
      <alignment/>
    </xf>
    <xf numFmtId="0" fontId="10" fillId="38" borderId="12" xfId="0" applyFont="1" applyFill="1" applyBorder="1" applyAlignment="1">
      <alignment/>
    </xf>
    <xf numFmtId="0" fontId="10" fillId="38" borderId="12" xfId="0" applyFont="1" applyFill="1" applyBorder="1" applyAlignment="1">
      <alignment horizontal="center"/>
    </xf>
    <xf numFmtId="0" fontId="10" fillId="38" borderId="22" xfId="0" applyFont="1" applyFill="1" applyBorder="1" applyAlignment="1">
      <alignment horizontal="center"/>
    </xf>
    <xf numFmtId="0" fontId="15" fillId="38" borderId="21" xfId="0" applyFont="1" applyFill="1" applyBorder="1" applyAlignment="1">
      <alignment horizontal="left" vertical="center" wrapText="1"/>
    </xf>
    <xf numFmtId="9" fontId="15" fillId="38" borderId="17" xfId="59" applyFont="1" applyFill="1" applyBorder="1" applyAlignment="1">
      <alignment/>
    </xf>
    <xf numFmtId="9" fontId="5" fillId="38" borderId="12" xfId="59" applyFont="1" applyFill="1" applyBorder="1" applyAlignment="1">
      <alignment horizontal="center"/>
    </xf>
    <xf numFmtId="9" fontId="5" fillId="38" borderId="22" xfId="59" applyFont="1" applyFill="1" applyBorder="1" applyAlignment="1">
      <alignment horizontal="center"/>
    </xf>
    <xf numFmtId="0" fontId="15" fillId="38" borderId="23" xfId="0" applyFont="1" applyFill="1" applyBorder="1" applyAlignment="1">
      <alignment horizontal="left" vertical="center" wrapText="1"/>
    </xf>
    <xf numFmtId="178" fontId="15" fillId="38" borderId="18" xfId="62" applyNumberFormat="1" applyFont="1" applyFill="1" applyBorder="1" applyAlignment="1">
      <alignment/>
    </xf>
    <xf numFmtId="178" fontId="5" fillId="38" borderId="12" xfId="62" applyNumberFormat="1" applyFont="1" applyFill="1" applyBorder="1" applyAlignment="1">
      <alignment horizontal="center"/>
    </xf>
    <xf numFmtId="178" fontId="5" fillId="38" borderId="22" xfId="62" applyNumberFormat="1" applyFont="1" applyFill="1" applyBorder="1" applyAlignment="1">
      <alignment horizontal="center"/>
    </xf>
    <xf numFmtId="0" fontId="15" fillId="38" borderId="24" xfId="0" applyFont="1" applyFill="1" applyBorder="1" applyAlignment="1" quotePrefix="1">
      <alignment horizontal="left" vertical="center" wrapText="1"/>
    </xf>
    <xf numFmtId="194" fontId="15" fillId="38" borderId="12" xfId="0" applyNumberFormat="1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 vertical="center" wrapText="1"/>
    </xf>
    <xf numFmtId="178" fontId="10" fillId="38" borderId="22" xfId="62" applyNumberFormat="1" applyFont="1" applyFill="1" applyBorder="1" applyAlignment="1">
      <alignment/>
    </xf>
    <xf numFmtId="166" fontId="15" fillId="38" borderId="21" xfId="0" applyNumberFormat="1" applyFont="1" applyFill="1" applyBorder="1" applyAlignment="1">
      <alignment horizontal="left" wrapText="1"/>
    </xf>
    <xf numFmtId="166" fontId="15" fillId="38" borderId="17" xfId="0" applyNumberFormat="1" applyFont="1" applyFill="1" applyBorder="1" applyAlignment="1">
      <alignment horizontal="right"/>
    </xf>
    <xf numFmtId="166" fontId="10" fillId="38" borderId="12" xfId="0" applyNumberFormat="1" applyFont="1" applyFill="1" applyBorder="1" applyAlignment="1">
      <alignment horizontal="right"/>
    </xf>
    <xf numFmtId="166" fontId="5" fillId="38" borderId="12" xfId="0" applyNumberFormat="1" applyFont="1" applyFill="1" applyBorder="1" applyAlignment="1">
      <alignment horizontal="center"/>
    </xf>
    <xf numFmtId="178" fontId="5" fillId="38" borderId="22" xfId="62" applyNumberFormat="1" applyFont="1" applyFill="1" applyBorder="1" applyAlignment="1">
      <alignment horizontal="right"/>
    </xf>
    <xf numFmtId="0" fontId="15" fillId="38" borderId="12" xfId="0" applyFont="1" applyFill="1" applyBorder="1" applyAlignment="1">
      <alignment horizontal="justify"/>
    </xf>
    <xf numFmtId="166" fontId="15" fillId="38" borderId="25" xfId="0" applyNumberFormat="1" applyFont="1" applyFill="1" applyBorder="1" applyAlignment="1">
      <alignment horizontal="right"/>
    </xf>
    <xf numFmtId="0" fontId="16" fillId="38" borderId="21" xfId="54" applyFont="1" applyFill="1" applyBorder="1" applyAlignment="1">
      <alignment horizontal="center" vertical="center" wrapText="1"/>
      <protection/>
    </xf>
    <xf numFmtId="0" fontId="16" fillId="38" borderId="26" xfId="0" applyFont="1" applyFill="1" applyBorder="1" applyAlignment="1">
      <alignment horizontal="left" vertical="center" wrapText="1"/>
    </xf>
    <xf numFmtId="200" fontId="10" fillId="38" borderId="12" xfId="0" applyNumberFormat="1" applyFont="1" applyFill="1" applyBorder="1" applyAlignment="1">
      <alignment horizontal="center"/>
    </xf>
    <xf numFmtId="0" fontId="15" fillId="38" borderId="26" xfId="0" applyFont="1" applyFill="1" applyBorder="1" applyAlignment="1">
      <alignment horizontal="left" vertical="top" wrapText="1"/>
    </xf>
    <xf numFmtId="164" fontId="15" fillId="38" borderId="27" xfId="0" applyNumberFormat="1" applyFont="1" applyFill="1" applyBorder="1" applyAlignment="1">
      <alignment/>
    </xf>
    <xf numFmtId="0" fontId="15" fillId="38" borderId="10" xfId="0" applyFont="1" applyFill="1" applyBorder="1" applyAlignment="1">
      <alignment horizontal="left" vertical="top" wrapText="1"/>
    </xf>
    <xf numFmtId="164" fontId="15" fillId="38" borderId="20" xfId="0" applyNumberFormat="1" applyFont="1" applyFill="1" applyBorder="1" applyAlignment="1">
      <alignment/>
    </xf>
    <xf numFmtId="164" fontId="5" fillId="38" borderId="20" xfId="0" applyNumberFormat="1" applyFont="1" applyFill="1" applyBorder="1" applyAlignment="1">
      <alignment horizontal="center"/>
    </xf>
    <xf numFmtId="164" fontId="5" fillId="38" borderId="12" xfId="0" applyNumberFormat="1" applyFont="1" applyFill="1" applyBorder="1" applyAlignment="1">
      <alignment horizontal="center"/>
    </xf>
    <xf numFmtId="0" fontId="66" fillId="38" borderId="21" xfId="0" applyFont="1" applyFill="1" applyBorder="1" applyAlignment="1">
      <alignment/>
    </xf>
    <xf numFmtId="166" fontId="15" fillId="38" borderId="22" xfId="59" applyNumberFormat="1" applyFont="1" applyFill="1" applyBorder="1" applyAlignment="1">
      <alignment horizontal="right"/>
    </xf>
    <xf numFmtId="0" fontId="5" fillId="38" borderId="12" xfId="0" applyFont="1" applyFill="1" applyBorder="1" applyAlignment="1">
      <alignment horizontal="center"/>
    </xf>
    <xf numFmtId="0" fontId="5" fillId="38" borderId="28" xfId="0" applyFont="1" applyFill="1" applyBorder="1" applyAlignment="1">
      <alignment horizontal="center"/>
    </xf>
    <xf numFmtId="0" fontId="66" fillId="38" borderId="10" xfId="0" applyFont="1" applyFill="1" applyBorder="1" applyAlignment="1">
      <alignment wrapText="1"/>
    </xf>
    <xf numFmtId="166" fontId="15" fillId="38" borderId="29" xfId="59" applyNumberFormat="1" applyFont="1" applyFill="1" applyBorder="1" applyAlignment="1">
      <alignment horizontal="right"/>
    </xf>
    <xf numFmtId="0" fontId="5" fillId="38" borderId="13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0" fontId="15" fillId="38" borderId="31" xfId="0" applyFont="1" applyFill="1" applyBorder="1" applyAlignment="1">
      <alignment/>
    </xf>
    <xf numFmtId="4" fontId="15" fillId="38" borderId="32" xfId="0" applyNumberFormat="1" applyFont="1" applyFill="1" applyBorder="1" applyAlignment="1">
      <alignment/>
    </xf>
    <xf numFmtId="4" fontId="5" fillId="38" borderId="11" xfId="0" applyNumberFormat="1" applyFont="1" applyFill="1" applyBorder="1" applyAlignment="1">
      <alignment horizontal="center"/>
    </xf>
    <xf numFmtId="0" fontId="11" fillId="38" borderId="12" xfId="0" applyFont="1" applyFill="1" applyBorder="1" applyAlignment="1">
      <alignment/>
    </xf>
    <xf numFmtId="167" fontId="11" fillId="38" borderId="12" xfId="0" applyNumberFormat="1" applyFont="1" applyFill="1" applyBorder="1" applyAlignment="1">
      <alignment horizontal="center"/>
    </xf>
    <xf numFmtId="2" fontId="11" fillId="38" borderId="12" xfId="0" applyNumberFormat="1" applyFont="1" applyFill="1" applyBorder="1" applyAlignment="1">
      <alignment horizontal="center"/>
    </xf>
    <xf numFmtId="3" fontId="11" fillId="38" borderId="12" xfId="62" applyNumberFormat="1" applyFont="1" applyFill="1" applyBorder="1" applyAlignment="1">
      <alignment horizontal="center"/>
    </xf>
    <xf numFmtId="167" fontId="13" fillId="38" borderId="12" xfId="0" applyNumberFormat="1" applyFont="1" applyFill="1" applyBorder="1" applyAlignment="1">
      <alignment horizontal="center"/>
    </xf>
    <xf numFmtId="1" fontId="13" fillId="38" borderId="12" xfId="0" applyNumberFormat="1" applyFont="1" applyFill="1" applyBorder="1" applyAlignment="1">
      <alignment horizontal="center"/>
    </xf>
    <xf numFmtId="168" fontId="11" fillId="38" borderId="12" xfId="0" applyNumberFormat="1" applyFont="1" applyFill="1" applyBorder="1" applyAlignment="1">
      <alignment horizontal="center"/>
    </xf>
    <xf numFmtId="164" fontId="11" fillId="38" borderId="12" xfId="0" applyNumberFormat="1" applyFont="1" applyFill="1" applyBorder="1" applyAlignment="1">
      <alignment horizontal="center"/>
    </xf>
    <xf numFmtId="168" fontId="11" fillId="38" borderId="13" xfId="0" applyNumberFormat="1" applyFont="1" applyFill="1" applyBorder="1" applyAlignment="1">
      <alignment horizontal="center"/>
    </xf>
    <xf numFmtId="1" fontId="13" fillId="38" borderId="13" xfId="0" applyNumberFormat="1" applyFont="1" applyFill="1" applyBorder="1" applyAlignment="1">
      <alignment horizontal="center"/>
    </xf>
    <xf numFmtId="43" fontId="6" fillId="7" borderId="12" xfId="62" applyNumberFormat="1" applyFont="1" applyFill="1" applyBorder="1" applyAlignment="1">
      <alignment horizontal="center"/>
    </xf>
    <xf numFmtId="4" fontId="14" fillId="7" borderId="12" xfId="62" applyNumberFormat="1" applyFont="1" applyFill="1" applyBorder="1" applyAlignment="1">
      <alignment horizontal="center"/>
    </xf>
    <xf numFmtId="167" fontId="13" fillId="7" borderId="12" xfId="0" applyNumberFormat="1" applyFont="1" applyFill="1" applyBorder="1" applyAlignment="1">
      <alignment horizontal="center"/>
    </xf>
    <xf numFmtId="2" fontId="13" fillId="7" borderId="12" xfId="0" applyNumberFormat="1" applyFont="1" applyFill="1" applyBorder="1" applyAlignment="1">
      <alignment horizontal="center"/>
    </xf>
    <xf numFmtId="176" fontId="4" fillId="38" borderId="0" xfId="62" applyNumberFormat="1" applyFont="1" applyFill="1" applyBorder="1" applyAlignment="1">
      <alignment horizontal="center" vertical="center" wrapText="1"/>
    </xf>
    <xf numFmtId="0" fontId="15" fillId="38" borderId="0" xfId="0" applyFont="1" applyFill="1" applyBorder="1" applyAlignment="1">
      <alignment/>
    </xf>
    <xf numFmtId="197" fontId="15" fillId="38" borderId="0" xfId="62" applyNumberFormat="1" applyFont="1" applyFill="1" applyBorder="1" applyAlignment="1">
      <alignment horizontal="center" vertical="center" wrapText="1"/>
    </xf>
    <xf numFmtId="178" fontId="15" fillId="38" borderId="0" xfId="62" applyNumberFormat="1" applyFont="1" applyFill="1" applyBorder="1" applyAlignment="1">
      <alignment horizontal="center" vertical="center" wrapText="1"/>
    </xf>
    <xf numFmtId="197" fontId="15" fillId="38" borderId="0" xfId="0" applyNumberFormat="1" applyFont="1" applyFill="1" applyBorder="1" applyAlignment="1">
      <alignment horizontal="center"/>
    </xf>
    <xf numFmtId="176" fontId="15" fillId="38" borderId="0" xfId="62" applyNumberFormat="1" applyFont="1" applyFill="1" applyBorder="1" applyAlignment="1">
      <alignment horizontal="center" vertical="center" wrapText="1"/>
    </xf>
    <xf numFmtId="177" fontId="15" fillId="38" borderId="0" xfId="0" applyNumberFormat="1" applyFont="1" applyFill="1" applyBorder="1" applyAlignment="1">
      <alignment horizontal="center"/>
    </xf>
    <xf numFmtId="167" fontId="15" fillId="38" borderId="0" xfId="0" applyNumberFormat="1" applyFont="1" applyFill="1" applyBorder="1" applyAlignment="1">
      <alignment horizontal="center"/>
    </xf>
    <xf numFmtId="177" fontId="15" fillId="38" borderId="0" xfId="0" applyNumberFormat="1" applyFont="1" applyFill="1" applyBorder="1" applyAlignment="1">
      <alignment/>
    </xf>
    <xf numFmtId="164" fontId="15" fillId="38" borderId="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/>
    </xf>
    <xf numFmtId="164" fontId="16" fillId="38" borderId="0" xfId="62" applyNumberFormat="1" applyFont="1" applyFill="1" applyBorder="1" applyAlignment="1">
      <alignment vertical="center" wrapText="1"/>
    </xf>
    <xf numFmtId="3" fontId="16" fillId="38" borderId="0" xfId="62" applyNumberFormat="1" applyFont="1" applyFill="1" applyBorder="1" applyAlignment="1">
      <alignment vertical="center" wrapText="1"/>
    </xf>
    <xf numFmtId="197" fontId="16" fillId="38" borderId="0" xfId="62" applyNumberFormat="1" applyFont="1" applyFill="1" applyBorder="1" applyAlignment="1">
      <alignment horizontal="right" vertical="center" wrapText="1"/>
    </xf>
    <xf numFmtId="177" fontId="16" fillId="38" borderId="0" xfId="62" applyNumberFormat="1" applyFont="1" applyFill="1" applyBorder="1" applyAlignment="1">
      <alignment horizontal="right" vertical="center" wrapText="1"/>
    </xf>
    <xf numFmtId="167" fontId="16" fillId="38" borderId="0" xfId="0" applyNumberFormat="1" applyFont="1" applyFill="1" applyBorder="1" applyAlignment="1">
      <alignment/>
    </xf>
    <xf numFmtId="177" fontId="16" fillId="38" borderId="0" xfId="62" applyNumberFormat="1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/>
    </xf>
    <xf numFmtId="3" fontId="10" fillId="39" borderId="12" xfId="0" applyNumberFormat="1" applyFont="1" applyFill="1" applyBorder="1" applyAlignment="1">
      <alignment horizontal="center"/>
    </xf>
    <xf numFmtId="164" fontId="10" fillId="39" borderId="12" xfId="0" applyNumberFormat="1" applyFont="1" applyFill="1" applyBorder="1" applyAlignment="1">
      <alignment horizontal="center"/>
    </xf>
    <xf numFmtId="166" fontId="4" fillId="39" borderId="12" xfId="59" applyNumberFormat="1" applyFont="1" applyFill="1" applyBorder="1" applyAlignment="1">
      <alignment horizontal="center"/>
    </xf>
    <xf numFmtId="170" fontId="4" fillId="39" borderId="12" xfId="59" applyNumberFormat="1" applyFont="1" applyFill="1" applyBorder="1" applyAlignment="1">
      <alignment horizontal="center"/>
    </xf>
    <xf numFmtId="4" fontId="4" fillId="39" borderId="12" xfId="0" applyNumberFormat="1" applyFont="1" applyFill="1" applyBorder="1" applyAlignment="1">
      <alignment horizontal="center"/>
    </xf>
    <xf numFmtId="170" fontId="4" fillId="39" borderId="12" xfId="0" applyNumberFormat="1" applyFont="1" applyFill="1" applyBorder="1" applyAlignment="1">
      <alignment horizontal="center"/>
    </xf>
    <xf numFmtId="201" fontId="4" fillId="39" borderId="12" xfId="62" applyNumberFormat="1" applyFont="1" applyFill="1" applyBorder="1" applyAlignment="1">
      <alignment horizontal="center"/>
    </xf>
    <xf numFmtId="164" fontId="3" fillId="39" borderId="12" xfId="0" applyNumberFormat="1" applyFont="1" applyFill="1" applyBorder="1" applyAlignment="1">
      <alignment horizontal="center"/>
    </xf>
    <xf numFmtId="167" fontId="2" fillId="39" borderId="12" xfId="0" applyNumberFormat="1" applyFont="1" applyFill="1" applyBorder="1" applyAlignment="1">
      <alignment horizontal="center"/>
    </xf>
    <xf numFmtId="167" fontId="4" fillId="39" borderId="12" xfId="0" applyNumberFormat="1" applyFont="1" applyFill="1" applyBorder="1" applyAlignment="1">
      <alignment horizontal="center"/>
    </xf>
    <xf numFmtId="0" fontId="67" fillId="38" borderId="0" xfId="0" applyFont="1" applyFill="1" applyAlignment="1">
      <alignment/>
    </xf>
    <xf numFmtId="0" fontId="68" fillId="38" borderId="0" xfId="0" applyFont="1" applyFill="1" applyAlignment="1">
      <alignment horizontal="left" vertical="center" wrapText="1"/>
    </xf>
    <xf numFmtId="0" fontId="69" fillId="38" borderId="0" xfId="0" applyFont="1" applyFill="1" applyAlignment="1">
      <alignment/>
    </xf>
    <xf numFmtId="176" fontId="68" fillId="38" borderId="0" xfId="62" applyNumberFormat="1" applyFont="1" applyFill="1" applyAlignment="1">
      <alignment vertical="center" wrapText="1"/>
    </xf>
    <xf numFmtId="0" fontId="68" fillId="38" borderId="0" xfId="0" applyFont="1" applyFill="1" applyAlignment="1">
      <alignment/>
    </xf>
    <xf numFmtId="0" fontId="70" fillId="38" borderId="0" xfId="0" applyFont="1" applyFill="1" applyAlignment="1">
      <alignment/>
    </xf>
    <xf numFmtId="3" fontId="2" fillId="38" borderId="0" xfId="0" applyNumberFormat="1" applyFont="1" applyFill="1" applyBorder="1" applyAlignment="1">
      <alignment/>
    </xf>
    <xf numFmtId="166" fontId="2" fillId="38" borderId="0" xfId="59" applyNumberFormat="1" applyFont="1" applyFill="1" applyBorder="1" applyAlignment="1">
      <alignment/>
    </xf>
    <xf numFmtId="167" fontId="2" fillId="38" borderId="0" xfId="0" applyNumberFormat="1" applyFont="1" applyFill="1" applyBorder="1" applyAlignment="1">
      <alignment/>
    </xf>
    <xf numFmtId="170" fontId="2" fillId="38" borderId="0" xfId="59" applyNumberFormat="1" applyFont="1" applyFill="1" applyBorder="1" applyAlignment="1">
      <alignment/>
    </xf>
    <xf numFmtId="170" fontId="2" fillId="38" borderId="0" xfId="0" applyNumberFormat="1" applyFont="1" applyFill="1" applyBorder="1" applyAlignment="1">
      <alignment/>
    </xf>
    <xf numFmtId="4" fontId="2" fillId="38" borderId="0" xfId="0" applyNumberFormat="1" applyFont="1" applyFill="1" applyBorder="1" applyAlignment="1">
      <alignment/>
    </xf>
    <xf numFmtId="0" fontId="4" fillId="38" borderId="13" xfId="0" applyFont="1" applyFill="1" applyBorder="1" applyAlignment="1">
      <alignment horizontal="center" vertical="center" wrapText="1"/>
    </xf>
    <xf numFmtId="0" fontId="4" fillId="38" borderId="33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10" fillId="38" borderId="33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8" borderId="33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3" borderId="13" xfId="54" applyFont="1" applyFill="1" applyBorder="1" applyAlignment="1">
      <alignment horizontal="center" vertical="center" wrapText="1"/>
      <protection/>
    </xf>
    <xf numFmtId="0" fontId="2" fillId="33" borderId="33" xfId="54" applyFont="1" applyFill="1" applyBorder="1" applyAlignment="1">
      <alignment horizontal="center" vertical="center" wrapText="1"/>
      <protection/>
    </xf>
    <xf numFmtId="0" fontId="2" fillId="33" borderId="16" xfId="54" applyFont="1" applyFill="1" applyBorder="1" applyAlignment="1">
      <alignment horizontal="center" vertical="center" wrapText="1"/>
      <protection/>
    </xf>
    <xf numFmtId="0" fontId="4" fillId="36" borderId="34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/>
    </xf>
    <xf numFmtId="0" fontId="4" fillId="36" borderId="13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5" fillId="38" borderId="12" xfId="0" applyFont="1" applyFill="1" applyBorder="1" applyAlignment="1">
      <alignment vertical="center" wrapText="1"/>
    </xf>
    <xf numFmtId="0" fontId="16" fillId="38" borderId="37" xfId="0" applyFont="1" applyFill="1" applyBorder="1" applyAlignment="1">
      <alignment horizontal="center"/>
    </xf>
    <xf numFmtId="0" fontId="16" fillId="38" borderId="38" xfId="0" applyFont="1" applyFill="1" applyBorder="1" applyAlignment="1">
      <alignment horizontal="center"/>
    </xf>
    <xf numFmtId="0" fontId="16" fillId="38" borderId="39" xfId="0" applyFont="1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horizontal="center" wrapText="1"/>
    </xf>
    <xf numFmtId="0" fontId="3" fillId="37" borderId="41" xfId="0" applyFont="1" applyFill="1" applyBorder="1" applyAlignment="1">
      <alignment horizontal="center" wrapText="1"/>
    </xf>
    <xf numFmtId="0" fontId="3" fillId="37" borderId="26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wrapText="1"/>
    </xf>
    <xf numFmtId="0" fontId="3" fillId="7" borderId="33" xfId="0" applyFont="1" applyFill="1" applyBorder="1" applyAlignment="1">
      <alignment horizontal="center" wrapText="1"/>
    </xf>
    <xf numFmtId="0" fontId="3" fillId="7" borderId="16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Data20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счеты МБО ХМАО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zoomScale="75" zoomScaleNormal="75" zoomScalePageLayoutView="0" workbookViewId="0" topLeftCell="A1">
      <selection activeCell="V27" sqref="V27"/>
    </sheetView>
  </sheetViews>
  <sheetFormatPr defaultColWidth="11.875" defaultRowHeight="12.75"/>
  <cols>
    <col min="1" max="1" width="21.75390625" style="1" customWidth="1"/>
    <col min="2" max="2" width="16.25390625" style="1" customWidth="1"/>
    <col min="3" max="4" width="18.25390625" style="1" hidden="1" customWidth="1"/>
    <col min="5" max="5" width="17.125" style="1" hidden="1" customWidth="1"/>
    <col min="6" max="6" width="15.75390625" style="1" hidden="1" customWidth="1"/>
    <col min="7" max="7" width="20.875" style="1" hidden="1" customWidth="1"/>
    <col min="8" max="8" width="18.125" style="1" customWidth="1"/>
    <col min="9" max="9" width="18.375" style="1" hidden="1" customWidth="1"/>
    <col min="10" max="10" width="17.875" style="1" customWidth="1"/>
    <col min="11" max="11" width="15.75390625" style="1" customWidth="1"/>
    <col min="12" max="12" width="15.125" style="1" hidden="1" customWidth="1"/>
    <col min="13" max="13" width="0.37109375" style="1" customWidth="1"/>
    <col min="14" max="14" width="17.25390625" style="1" hidden="1" customWidth="1"/>
    <col min="15" max="16" width="20.00390625" style="1" customWidth="1"/>
    <col min="17" max="17" width="20.25390625" style="1" customWidth="1"/>
    <col min="18" max="18" width="19.75390625" style="1" customWidth="1"/>
    <col min="19" max="19" width="19.125" style="1" customWidth="1"/>
    <col min="20" max="20" width="19.125" style="1" hidden="1" customWidth="1"/>
    <col min="21" max="21" width="19.00390625" style="1" customWidth="1"/>
    <col min="22" max="22" width="21.75390625" style="3" customWidth="1"/>
    <col min="23" max="23" width="16.875" style="3" hidden="1" customWidth="1"/>
    <col min="24" max="24" width="21.375" style="3" customWidth="1"/>
    <col min="25" max="25" width="23.125" style="3" customWidth="1"/>
    <col min="26" max="26" width="18.625" style="3" customWidth="1"/>
    <col min="27" max="27" width="0.12890625" style="1" customWidth="1"/>
    <col min="28" max="28" width="16.25390625" style="1" hidden="1" customWidth="1"/>
    <col min="29" max="29" width="21.375" style="1" customWidth="1"/>
    <col min="30" max="16384" width="11.875" style="1" customWidth="1"/>
  </cols>
  <sheetData>
    <row r="1" spans="2:11" ht="12.75">
      <c r="B1" s="38"/>
      <c r="K1" s="2"/>
    </row>
    <row r="2" ht="12.75">
      <c r="K2" s="2"/>
    </row>
    <row r="3" spans="1:30" ht="12.75">
      <c r="A3" s="65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</row>
    <row r="4" spans="1:29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6"/>
      <c r="W4" s="66"/>
      <c r="X4" s="66"/>
      <c r="Y4" s="66"/>
      <c r="Z4" s="66"/>
      <c r="AA4" s="65"/>
      <c r="AB4" s="65"/>
      <c r="AC4" s="65"/>
    </row>
    <row r="5" ht="12.75"/>
    <row r="6" ht="12.75"/>
    <row r="7" spans="1:29" ht="15.75">
      <c r="A7" s="9"/>
      <c r="B7" s="98" t="s">
        <v>51</v>
      </c>
      <c r="C7" s="99"/>
      <c r="D7" s="99"/>
      <c r="E7" s="99"/>
      <c r="F7" s="99"/>
      <c r="G7" s="100"/>
      <c r="H7" s="99"/>
      <c r="I7" s="101"/>
      <c r="J7" s="102"/>
      <c r="K7" s="99"/>
      <c r="L7" s="103"/>
      <c r="M7" s="100"/>
      <c r="N7" s="100"/>
      <c r="O7" s="104"/>
      <c r="P7" s="16"/>
      <c r="Q7" s="16"/>
      <c r="R7" s="11"/>
      <c r="S7" s="15"/>
      <c r="T7" s="11"/>
      <c r="U7" s="17"/>
      <c r="V7" s="18"/>
      <c r="W7" s="18"/>
      <c r="X7" s="18"/>
      <c r="Y7" s="18"/>
      <c r="Z7" s="18"/>
      <c r="AA7" s="13"/>
      <c r="AB7" s="13"/>
      <c r="AC7" s="13"/>
    </row>
    <row r="8" spans="1:29" ht="12.75">
      <c r="A8" s="9"/>
      <c r="B8" s="10"/>
      <c r="C8" s="10"/>
      <c r="D8" s="10"/>
      <c r="E8" s="10"/>
      <c r="F8" s="10"/>
      <c r="G8" s="11"/>
      <c r="H8" s="10"/>
      <c r="I8" s="12"/>
      <c r="J8" s="13"/>
      <c r="K8" s="10"/>
      <c r="L8" s="14"/>
      <c r="M8" s="11"/>
      <c r="N8" s="11"/>
      <c r="O8" s="16"/>
      <c r="P8" s="16"/>
      <c r="Q8" s="16"/>
      <c r="R8" s="11"/>
      <c r="S8" s="97">
        <v>0.25</v>
      </c>
      <c r="T8" s="11"/>
      <c r="U8" s="17"/>
      <c r="V8" s="18"/>
      <c r="W8" s="18"/>
      <c r="X8" s="18"/>
      <c r="Y8" s="18"/>
      <c r="Z8" s="18"/>
      <c r="AA8" s="13"/>
      <c r="AB8" s="13"/>
      <c r="AC8" s="13"/>
    </row>
    <row r="9" spans="1:29" ht="15.75" customHeight="1">
      <c r="A9" s="239" t="s">
        <v>0</v>
      </c>
      <c r="B9" s="239" t="s">
        <v>1</v>
      </c>
      <c r="C9" s="239"/>
      <c r="D9" s="239"/>
      <c r="E9" s="239"/>
      <c r="F9" s="239"/>
      <c r="G9" s="239"/>
      <c r="H9" s="239" t="s">
        <v>12</v>
      </c>
      <c r="I9" s="239" t="s">
        <v>57</v>
      </c>
      <c r="J9" s="239" t="s">
        <v>2</v>
      </c>
      <c r="K9" s="239" t="s">
        <v>13</v>
      </c>
      <c r="L9" s="239" t="s">
        <v>10</v>
      </c>
      <c r="M9" s="239"/>
      <c r="N9" s="239"/>
      <c r="O9" s="239" t="s">
        <v>70</v>
      </c>
      <c r="P9" s="239" t="s">
        <v>69</v>
      </c>
      <c r="Q9" s="239" t="s">
        <v>71</v>
      </c>
      <c r="R9" s="239" t="s">
        <v>56</v>
      </c>
      <c r="S9" s="239" t="s">
        <v>61</v>
      </c>
      <c r="T9" s="239"/>
      <c r="U9" s="239" t="s">
        <v>68</v>
      </c>
      <c r="V9" s="239" t="s">
        <v>62</v>
      </c>
      <c r="W9" s="239"/>
      <c r="X9" s="239" t="s">
        <v>65</v>
      </c>
      <c r="Y9" s="239" t="s">
        <v>64</v>
      </c>
      <c r="Z9" s="239" t="s">
        <v>66</v>
      </c>
      <c r="AA9" s="244"/>
      <c r="AB9" s="247"/>
      <c r="AC9" s="239" t="s">
        <v>67</v>
      </c>
    </row>
    <row r="10" spans="1:29" ht="15.75" customHeight="1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2"/>
      <c r="P10" s="242"/>
      <c r="Q10" s="242"/>
      <c r="R10" s="240"/>
      <c r="S10" s="240"/>
      <c r="T10" s="240"/>
      <c r="U10" s="240"/>
      <c r="V10" s="240"/>
      <c r="W10" s="240"/>
      <c r="X10" s="240"/>
      <c r="Y10" s="240"/>
      <c r="Z10" s="240"/>
      <c r="AA10" s="245"/>
      <c r="AB10" s="248"/>
      <c r="AC10" s="240"/>
    </row>
    <row r="11" spans="1:29" ht="149.2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3"/>
      <c r="P11" s="243"/>
      <c r="Q11" s="243"/>
      <c r="R11" s="241"/>
      <c r="S11" s="241"/>
      <c r="T11" s="241"/>
      <c r="U11" s="241"/>
      <c r="V11" s="241"/>
      <c r="W11" s="241"/>
      <c r="X11" s="241"/>
      <c r="Y11" s="241"/>
      <c r="Z11" s="241"/>
      <c r="AA11" s="246"/>
      <c r="AB11" s="249"/>
      <c r="AC11" s="241"/>
    </row>
    <row r="12" spans="1:29" ht="18.75">
      <c r="A12" s="125" t="s">
        <v>23</v>
      </c>
      <c r="B12" s="123">
        <v>7777</v>
      </c>
      <c r="C12" s="126"/>
      <c r="D12" s="126"/>
      <c r="E12" s="126"/>
      <c r="F12" s="126"/>
      <c r="G12" s="126"/>
      <c r="H12" s="127">
        <v>542</v>
      </c>
      <c r="I12" s="128">
        <f aca="true" t="shared" si="0" ref="I12:I18">H12/B12</f>
        <v>0.0696926835540697</v>
      </c>
      <c r="J12" s="129">
        <f>(1+H12/B12)/(1+H18/B18)</f>
        <v>0.9929204813851173</v>
      </c>
      <c r="K12" s="130">
        <v>542</v>
      </c>
      <c r="L12" s="131">
        <f aca="true" t="shared" si="1" ref="L12:L18">K12/B12</f>
        <v>0.0696926835540697</v>
      </c>
      <c r="M12" s="132"/>
      <c r="N12" s="132"/>
      <c r="O12" s="132">
        <f>55.49+105.05</f>
        <v>160.54</v>
      </c>
      <c r="P12" s="132">
        <v>2300.45</v>
      </c>
      <c r="Q12" s="132">
        <v>5.14</v>
      </c>
      <c r="R12" s="133">
        <f aca="true" t="shared" si="2" ref="R12:R18">(0.2*O12/O$18+0.65*P12/P$18+0.15*Q12/Q$18)</f>
        <v>1.1069238089601063</v>
      </c>
      <c r="S12" s="129">
        <f>(1+S8*K12/B12)/(1+S8*K18/B18)</f>
        <v>0.9318422363115053</v>
      </c>
      <c r="T12" s="133"/>
      <c r="U12" s="133">
        <f aca="true" t="shared" si="3" ref="U12:U17">0.8+0.2*AVERAGE($B$12:$B$17)/B12</f>
        <v>0.9022759418799023</v>
      </c>
      <c r="V12" s="134">
        <f>'Параметры модели'!C40*S12+'Параметры модели'!C41*R12+1-'Параметры модели'!C40-'Параметры модели'!C41</f>
        <v>0.9601882535788031</v>
      </c>
      <c r="W12" s="135"/>
      <c r="X12" s="136">
        <f>(Z12/B12)/(Z18/B18)</f>
        <v>1.0778397460265237</v>
      </c>
      <c r="Y12" s="136">
        <f>'Параметры модели'!E34*U12+'Параметры модели'!E33*X12+'Параметры модели'!E35*J12</f>
        <v>0.9528251391128522</v>
      </c>
      <c r="Z12" s="135">
        <v>232.8</v>
      </c>
      <c r="AA12" s="137"/>
      <c r="AB12" s="138"/>
      <c r="AC12" s="139">
        <f>V12*Y12*B18/SUMPRODUCT(V12:V17,Y12:Y17,B12:B17)</f>
        <v>0.9075884434166798</v>
      </c>
    </row>
    <row r="13" spans="1:29" ht="18.75">
      <c r="A13" s="125" t="s">
        <v>24</v>
      </c>
      <c r="B13" s="123">
        <v>8291</v>
      </c>
      <c r="C13" s="126"/>
      <c r="D13" s="126"/>
      <c r="E13" s="126"/>
      <c r="F13" s="126"/>
      <c r="G13" s="126"/>
      <c r="H13" s="127">
        <v>430</v>
      </c>
      <c r="I13" s="128">
        <f t="shared" si="0"/>
        <v>0.05186346640935954</v>
      </c>
      <c r="J13" s="129">
        <f>(1+H13/B13)/(1+H18/B18)</f>
        <v>0.9763708731263913</v>
      </c>
      <c r="K13" s="130">
        <v>430</v>
      </c>
      <c r="L13" s="131">
        <f t="shared" si="1"/>
        <v>0.05186346640935954</v>
      </c>
      <c r="M13" s="127"/>
      <c r="N13" s="127"/>
      <c r="O13" s="132">
        <f>53.55+55.49</f>
        <v>109.03999999999999</v>
      </c>
      <c r="P13" s="127">
        <v>1955.75</v>
      </c>
      <c r="Q13" s="127">
        <v>5.14</v>
      </c>
      <c r="R13" s="133">
        <f t="shared" si="2"/>
        <v>0.9211533530616867</v>
      </c>
      <c r="S13" s="129">
        <f>(1+S8*K13/B13)/(1+S8*K18/B18)</f>
        <v>0.9277598598600967</v>
      </c>
      <c r="T13" s="133"/>
      <c r="U13" s="133">
        <f t="shared" si="3"/>
        <v>0.8959353515860572</v>
      </c>
      <c r="V13" s="134">
        <f>'Параметры модели'!C40*S13+'Параметры модели'!C41*R13+1-'Параметры модели'!C40-'Параметры модели'!C41</f>
        <v>0.9497323497376536</v>
      </c>
      <c r="W13" s="135"/>
      <c r="X13" s="136">
        <f>(Z13/B13)/(Z18/B18)</f>
        <v>1.1573737169056253</v>
      </c>
      <c r="Y13" s="136">
        <f>'Параметры модели'!E34*U13+'Параметры модели'!E33*X13+'Параметры модели'!E35*J13</f>
        <v>0.9416454557455123</v>
      </c>
      <c r="Z13" s="135">
        <v>266.5</v>
      </c>
      <c r="AA13" s="137"/>
      <c r="AB13" s="138"/>
      <c r="AC13" s="139">
        <f>V13*Y13*B18/SUMPRODUCT(V12:V17,Y12:Y17,B12:B17)</f>
        <v>0.8871723697969391</v>
      </c>
    </row>
    <row r="14" spans="1:29" ht="18.75">
      <c r="A14" s="125" t="s">
        <v>25</v>
      </c>
      <c r="B14" s="123">
        <v>3602</v>
      </c>
      <c r="C14" s="126"/>
      <c r="D14" s="126"/>
      <c r="E14" s="126"/>
      <c r="F14" s="126"/>
      <c r="G14" s="126"/>
      <c r="H14" s="127">
        <v>416</v>
      </c>
      <c r="I14" s="128">
        <f t="shared" si="0"/>
        <v>0.11549139367018323</v>
      </c>
      <c r="J14" s="129">
        <f>(1+H14/B14)/(1+H18/B18)</f>
        <v>1.0354322027369165</v>
      </c>
      <c r="K14" s="130">
        <v>3602</v>
      </c>
      <c r="L14" s="131">
        <f t="shared" si="1"/>
        <v>1</v>
      </c>
      <c r="M14" s="127"/>
      <c r="N14" s="127"/>
      <c r="O14" s="132">
        <f>154.42</f>
        <v>154.42</v>
      </c>
      <c r="P14" s="127">
        <v>4170.66</v>
      </c>
      <c r="Q14" s="140">
        <v>5.23</v>
      </c>
      <c r="R14" s="133">
        <f t="shared" si="2"/>
        <v>1.6551133179036055</v>
      </c>
      <c r="S14" s="129">
        <f>(1+S8*K14/B14)/(1+S8*K18/B18)</f>
        <v>1.1448557775346881</v>
      </c>
      <c r="T14" s="133"/>
      <c r="U14" s="133">
        <f t="shared" si="3"/>
        <v>1.0208217656857301</v>
      </c>
      <c r="V14" s="134">
        <f>'Параметры модели'!C40*S14+'Параметры модели'!C41*R14+1-'Параметры модели'!C40-'Параметры модели'!C41</f>
        <v>1.1216710147494988</v>
      </c>
      <c r="W14" s="135"/>
      <c r="X14" s="136">
        <f>(Z14/B14)/(Z18/B18)</f>
        <v>0.5827847296469677</v>
      </c>
      <c r="Y14" s="136">
        <f>'Параметры модели'!E34*U14+'Параметры модели'!E33*X14+'Параметры модели'!E35*J14</f>
        <v>1.0251993974066584</v>
      </c>
      <c r="Z14" s="135">
        <v>58.3</v>
      </c>
      <c r="AA14" s="137"/>
      <c r="AB14" s="138"/>
      <c r="AC14" s="139">
        <f>V14*Y14*B18/SUMPRODUCT(V12:V17,Y12:Y17,B12:B17)</f>
        <v>1.1407571543336539</v>
      </c>
    </row>
    <row r="15" spans="1:29" ht="18.75">
      <c r="A15" s="125" t="s">
        <v>26</v>
      </c>
      <c r="B15" s="123">
        <v>1347</v>
      </c>
      <c r="C15" s="126"/>
      <c r="D15" s="126"/>
      <c r="E15" s="126"/>
      <c r="F15" s="126"/>
      <c r="G15" s="126"/>
      <c r="H15" s="127"/>
      <c r="I15" s="128">
        <f t="shared" si="0"/>
        <v>0</v>
      </c>
      <c r="J15" s="129">
        <f>(1+H15/B15)/(1+H18/B18)</f>
        <v>0.9282296650717704</v>
      </c>
      <c r="K15" s="130">
        <v>1347</v>
      </c>
      <c r="L15" s="131">
        <f t="shared" si="1"/>
        <v>1</v>
      </c>
      <c r="M15" s="127"/>
      <c r="N15" s="127"/>
      <c r="O15" s="132">
        <f>47.88+54.27</f>
        <v>102.15</v>
      </c>
      <c r="P15" s="127">
        <v>1135.96</v>
      </c>
      <c r="Q15" s="127">
        <v>5.14</v>
      </c>
      <c r="R15" s="133">
        <f t="shared" si="2"/>
        <v>0.6666085184597138</v>
      </c>
      <c r="S15" s="129">
        <f>(1+S8*K15/B15)/(1+S8*K18/B18)</f>
        <v>1.1448557775346881</v>
      </c>
      <c r="T15" s="133"/>
      <c r="U15" s="133">
        <f t="shared" si="3"/>
        <v>1.3904974016332592</v>
      </c>
      <c r="V15" s="134">
        <f>'Параметры модели'!C40*S15+'Параметры модели'!C41*R15+1-'Параметры модели'!C40-'Параметры модели'!C41</f>
        <v>1.0801538131728552</v>
      </c>
      <c r="W15" s="135"/>
      <c r="X15" s="136">
        <f>(Z15/B15)/(Z18/B18)</f>
        <v>1.0588161674952872</v>
      </c>
      <c r="Y15" s="136">
        <f>'Параметры модели'!E34*U15+'Параметры модели'!E33*X15+'Параметры модели'!E35*J15</f>
        <v>1.1372642007842715</v>
      </c>
      <c r="Z15" s="141">
        <v>39.61</v>
      </c>
      <c r="AA15" s="137"/>
      <c r="AB15" s="138"/>
      <c r="AC15" s="139">
        <f>V15*Y15*B18/SUMPRODUCT(V12:V17,Y12:Y17,B12:B17)</f>
        <v>1.218614476960438</v>
      </c>
    </row>
    <row r="16" spans="1:29" ht="18.75">
      <c r="A16" s="125" t="s">
        <v>27</v>
      </c>
      <c r="B16" s="123">
        <v>1666</v>
      </c>
      <c r="C16" s="126"/>
      <c r="D16" s="126"/>
      <c r="E16" s="126"/>
      <c r="F16" s="126"/>
      <c r="G16" s="126"/>
      <c r="H16" s="127">
        <v>457</v>
      </c>
      <c r="I16" s="128">
        <f t="shared" si="0"/>
        <v>0.2743097238895558</v>
      </c>
      <c r="J16" s="129">
        <f>(1+H16/B16)/(1+H18/B18)</f>
        <v>1.1828520882037026</v>
      </c>
      <c r="K16" s="130">
        <v>1666</v>
      </c>
      <c r="L16" s="131">
        <f t="shared" si="1"/>
        <v>1</v>
      </c>
      <c r="M16" s="127"/>
      <c r="N16" s="127"/>
      <c r="O16" s="132">
        <f>49.04+58.29</f>
        <v>107.33</v>
      </c>
      <c r="P16" s="127">
        <v>3076.48</v>
      </c>
      <c r="Q16" s="127">
        <v>3.79</v>
      </c>
      <c r="R16" s="133">
        <f t="shared" si="2"/>
        <v>1.2080703307138276</v>
      </c>
      <c r="S16" s="129">
        <f>(1+S8*K16/B16)/(1+S8*K18/B18)</f>
        <v>1.1448557775346881</v>
      </c>
      <c r="T16" s="133"/>
      <c r="U16" s="133">
        <f t="shared" si="3"/>
        <v>1.2774309723889556</v>
      </c>
      <c r="V16" s="134">
        <f>'Параметры модели'!C40*S16+'Параметры модели'!C41*R16+1-'Параметры модели'!C40-'Параметры модели'!C41</f>
        <v>1.1028952092875282</v>
      </c>
      <c r="W16" s="135"/>
      <c r="X16" s="136">
        <f>(Z16/B16)/(Z18/B18)</f>
        <v>0.765088338303437</v>
      </c>
      <c r="Y16" s="136">
        <f>'Параметры модели'!E34*U16+'Параметры модели'!E33*X16+'Параметры модели'!E35*J16</f>
        <v>1.2220266517119</v>
      </c>
      <c r="Z16" s="135">
        <v>35.4</v>
      </c>
      <c r="AA16" s="137"/>
      <c r="AB16" s="138"/>
      <c r="AC16" s="139">
        <f>V16*Y16*B18/SUMPRODUCT(V12:V17,Y12:Y17,B12:B17)</f>
        <v>1.3370088732941046</v>
      </c>
    </row>
    <row r="17" spans="1:29" ht="18.75">
      <c r="A17" s="125" t="s">
        <v>28</v>
      </c>
      <c r="B17" s="123">
        <v>1179</v>
      </c>
      <c r="C17" s="126"/>
      <c r="D17" s="126"/>
      <c r="E17" s="126"/>
      <c r="F17" s="126"/>
      <c r="G17" s="126"/>
      <c r="H17" s="127"/>
      <c r="I17" s="128">
        <f t="shared" si="0"/>
        <v>0</v>
      </c>
      <c r="J17" s="129">
        <f>(1+H17/B17)/(1+H18/B18)</f>
        <v>0.9282296650717704</v>
      </c>
      <c r="K17" s="130">
        <v>1179</v>
      </c>
      <c r="L17" s="131">
        <f t="shared" si="1"/>
        <v>1</v>
      </c>
      <c r="M17" s="127"/>
      <c r="N17" s="127"/>
      <c r="O17" s="132">
        <f>50.66+56.56</f>
        <v>107.22</v>
      </c>
      <c r="P17" s="127">
        <v>497.15</v>
      </c>
      <c r="Q17" s="127">
        <v>3.79</v>
      </c>
      <c r="R17" s="133">
        <f t="shared" si="2"/>
        <v>0.4421306709010602</v>
      </c>
      <c r="S17" s="129">
        <f>(1+S8*K17/B17)/(1+S8*K18/B18)</f>
        <v>1.1448557775346881</v>
      </c>
      <c r="T17" s="133"/>
      <c r="U17" s="133">
        <f t="shared" si="3"/>
        <v>1.4746395250212045</v>
      </c>
      <c r="V17" s="134">
        <f>'Параметры модели'!C40*S17+'Параметры модели'!C41*R17+1-'Параметры модели'!C40-'Параметры модели'!C41</f>
        <v>1.070725743575392</v>
      </c>
      <c r="W17" s="135"/>
      <c r="X17" s="136">
        <f>(Z17/B17)/(Z18/B18)</f>
        <v>0.9192550151561732</v>
      </c>
      <c r="Y17" s="136">
        <f>'Параметры модели'!E34*U17+'Параметры модели'!E33*X17+'Параметры модели'!E35*J17</f>
        <v>1.1739922899627515</v>
      </c>
      <c r="Z17" s="135">
        <v>30.1</v>
      </c>
      <c r="AA17" s="137"/>
      <c r="AB17" s="138"/>
      <c r="AC17" s="139">
        <f>V17*Y17*B18/SUMPRODUCT(V12:V17,Y12:Y17,B12:B17)</f>
        <v>1.2469896558766287</v>
      </c>
    </row>
    <row r="18" spans="1:29" ht="15.75">
      <c r="A18" s="216" t="s">
        <v>29</v>
      </c>
      <c r="B18" s="217">
        <f>SUM(B12:B17)</f>
        <v>23862</v>
      </c>
      <c r="C18" s="218"/>
      <c r="D18" s="218"/>
      <c r="E18" s="218"/>
      <c r="F18" s="218"/>
      <c r="G18" s="218"/>
      <c r="H18" s="217">
        <f>SUM(H12:H17)</f>
        <v>1845</v>
      </c>
      <c r="I18" s="219">
        <f t="shared" si="0"/>
        <v>0.07731958762886598</v>
      </c>
      <c r="J18" s="218"/>
      <c r="K18" s="217">
        <f>SUM(K12:K17)</f>
        <v>8766</v>
      </c>
      <c r="L18" s="220">
        <f t="shared" si="1"/>
        <v>0.3673623334171486</v>
      </c>
      <c r="M18" s="218"/>
      <c r="N18" s="218"/>
      <c r="O18" s="221">
        <f>SUM(O12:O17)/6</f>
        <v>123.45</v>
      </c>
      <c r="P18" s="221">
        <f>SUM(P12:P17)/6</f>
        <v>2189.4083333333333</v>
      </c>
      <c r="Q18" s="221">
        <f>SUM(Q12:Q17)/6</f>
        <v>4.704999999999999</v>
      </c>
      <c r="R18" s="222">
        <f t="shared" si="2"/>
        <v>1</v>
      </c>
      <c r="S18" s="218"/>
      <c r="T18" s="222"/>
      <c r="U18" s="222"/>
      <c r="V18" s="223"/>
      <c r="W18" s="218"/>
      <c r="X18" s="218"/>
      <c r="Y18" s="218"/>
      <c r="Z18" s="218">
        <f>SUM(Z12:Z17)</f>
        <v>662.71</v>
      </c>
      <c r="AA18" s="224"/>
      <c r="AB18" s="225"/>
      <c r="AC18" s="226"/>
    </row>
    <row r="19" spans="2:29" ht="12.75">
      <c r="B19" s="9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  <c r="W19" s="56"/>
      <c r="X19" s="56"/>
      <c r="Y19" s="56"/>
      <c r="Z19" s="56"/>
      <c r="AA19" s="55"/>
      <c r="AB19" s="55"/>
      <c r="AC19" s="55"/>
    </row>
    <row r="20" spans="2:29" ht="12.75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  <c r="W20" s="56"/>
      <c r="X20" s="56"/>
      <c r="Y20" s="56"/>
      <c r="Z20" s="56"/>
      <c r="AA20" s="55"/>
      <c r="AB20" s="55"/>
      <c r="AC20" s="55"/>
    </row>
    <row r="21" spans="2:29" ht="12.75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6"/>
      <c r="W21" s="56"/>
      <c r="X21" s="56"/>
      <c r="Y21" s="56"/>
      <c r="Z21" s="56"/>
      <c r="AA21" s="55"/>
      <c r="AB21" s="55"/>
      <c r="AC21" s="55"/>
    </row>
    <row r="22" spans="2:29" ht="12.75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6"/>
      <c r="W22" s="56"/>
      <c r="X22" s="56"/>
      <c r="Y22" s="56"/>
      <c r="Z22" s="56"/>
      <c r="AA22" s="55"/>
      <c r="AB22" s="55"/>
      <c r="AC22" s="55"/>
    </row>
    <row r="23" spans="2:29" ht="12.7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6"/>
      <c r="W23" s="56"/>
      <c r="X23" s="56"/>
      <c r="Y23" s="56"/>
      <c r="Z23" s="56"/>
      <c r="AA23" s="55"/>
      <c r="AB23" s="55"/>
      <c r="AC23" s="55"/>
    </row>
    <row r="24" spans="2:29" ht="12.7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/>
      <c r="W24" s="56"/>
      <c r="X24" s="56"/>
      <c r="Y24" s="56"/>
      <c r="Z24" s="56"/>
      <c r="AA24" s="55"/>
      <c r="AB24" s="55"/>
      <c r="AC24" s="55"/>
    </row>
    <row r="25" spans="2:29" ht="12.7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6"/>
      <c r="W25" s="56"/>
      <c r="X25" s="56"/>
      <c r="Y25" s="56"/>
      <c r="Z25" s="56"/>
      <c r="AA25" s="55"/>
      <c r="AB25" s="55"/>
      <c r="AC25" s="55"/>
    </row>
    <row r="26" spans="2:29" ht="12.75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6"/>
      <c r="W26" s="56"/>
      <c r="X26" s="56"/>
      <c r="Y26" s="56"/>
      <c r="Z26" s="56"/>
      <c r="AA26" s="55"/>
      <c r="AB26" s="55"/>
      <c r="AC26" s="55"/>
    </row>
    <row r="27" spans="2:29" ht="12.75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6"/>
      <c r="W27" s="56"/>
      <c r="X27" s="56"/>
      <c r="Y27" s="56"/>
      <c r="Z27" s="56"/>
      <c r="AA27" s="55"/>
      <c r="AB27" s="55"/>
      <c r="AC27" s="55"/>
    </row>
    <row r="28" spans="2:29" ht="12.7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6"/>
      <c r="W28" s="56"/>
      <c r="X28" s="56"/>
      <c r="Y28" s="56"/>
      <c r="Z28" s="56"/>
      <c r="AA28" s="55"/>
      <c r="AB28" s="55"/>
      <c r="AC28" s="55"/>
    </row>
    <row r="29" spans="2:29" ht="12.75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6"/>
      <c r="W29" s="56"/>
      <c r="X29" s="56"/>
      <c r="Y29" s="56"/>
      <c r="Z29" s="56"/>
      <c r="AA29" s="55"/>
      <c r="AB29" s="55"/>
      <c r="AC29" s="55"/>
    </row>
    <row r="30" spans="2:29" ht="12.75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6"/>
      <c r="W30" s="56"/>
      <c r="X30" s="56"/>
      <c r="Y30" s="56"/>
      <c r="Z30" s="56"/>
      <c r="AA30" s="55"/>
      <c r="AB30" s="55"/>
      <c r="AC30" s="55"/>
    </row>
    <row r="31" spans="2:29" ht="12.7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  <c r="W31" s="56"/>
      <c r="X31" s="56"/>
      <c r="Y31" s="56"/>
      <c r="Z31" s="56"/>
      <c r="AA31" s="55"/>
      <c r="AB31" s="55"/>
      <c r="AC31" s="55"/>
    </row>
    <row r="32" spans="2:29" ht="12.7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6"/>
      <c r="W32" s="56"/>
      <c r="X32" s="56"/>
      <c r="Y32" s="56"/>
      <c r="Z32" s="56"/>
      <c r="AA32" s="55"/>
      <c r="AB32" s="55"/>
      <c r="AC32" s="55"/>
    </row>
    <row r="33" spans="2:29" ht="12.7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56"/>
      <c r="X33" s="56"/>
      <c r="Y33" s="56"/>
      <c r="Z33" s="56"/>
      <c r="AA33" s="55"/>
      <c r="AB33" s="55"/>
      <c r="AC33" s="55"/>
    </row>
    <row r="34" spans="2:29" ht="12.7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56"/>
      <c r="X34" s="56"/>
      <c r="Y34" s="56"/>
      <c r="Z34" s="56"/>
      <c r="AA34" s="55"/>
      <c r="AB34" s="55"/>
      <c r="AC34" s="55"/>
    </row>
    <row r="35" spans="2:29" ht="12.7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56"/>
      <c r="X35" s="56"/>
      <c r="Y35" s="56"/>
      <c r="Z35" s="56"/>
      <c r="AA35" s="55"/>
      <c r="AB35" s="55"/>
      <c r="AC35" s="55"/>
    </row>
    <row r="36" spans="2:29" ht="12.7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6"/>
      <c r="W36" s="56"/>
      <c r="X36" s="56"/>
      <c r="Y36" s="56"/>
      <c r="Z36" s="56"/>
      <c r="AA36" s="55"/>
      <c r="AB36" s="55"/>
      <c r="AC36" s="55"/>
    </row>
    <row r="37" spans="2:29" ht="12.7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6"/>
      <c r="W37" s="56"/>
      <c r="X37" s="56"/>
      <c r="Y37" s="56"/>
      <c r="Z37" s="56"/>
      <c r="AA37" s="55"/>
      <c r="AB37" s="55"/>
      <c r="AC37" s="55"/>
    </row>
    <row r="38" spans="2:29" ht="12.7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6"/>
      <c r="W38" s="56"/>
      <c r="X38" s="56"/>
      <c r="Y38" s="56"/>
      <c r="Z38" s="56"/>
      <c r="AA38" s="55"/>
      <c r="AB38" s="55"/>
      <c r="AC38" s="55"/>
    </row>
    <row r="39" spans="2:29" ht="12.7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56"/>
      <c r="X39" s="56"/>
      <c r="Y39" s="56"/>
      <c r="Z39" s="56"/>
      <c r="AA39" s="55"/>
      <c r="AB39" s="55"/>
      <c r="AC39" s="55"/>
    </row>
    <row r="40" spans="2:29" ht="12.7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56"/>
      <c r="X40" s="56"/>
      <c r="Y40" s="56"/>
      <c r="Z40" s="56"/>
      <c r="AA40" s="55"/>
      <c r="AB40" s="55"/>
      <c r="AC40" s="55"/>
    </row>
    <row r="41" spans="2:29" ht="12.7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56"/>
      <c r="X41" s="56"/>
      <c r="Y41" s="56"/>
      <c r="Z41" s="56"/>
      <c r="AA41" s="55"/>
      <c r="AB41" s="55"/>
      <c r="AC41" s="55"/>
    </row>
    <row r="42" spans="2:29" ht="12.7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6"/>
      <c r="W42" s="56"/>
      <c r="X42" s="56"/>
      <c r="Y42" s="56"/>
      <c r="Z42" s="56"/>
      <c r="AA42" s="55"/>
      <c r="AB42" s="55"/>
      <c r="AC42" s="55"/>
    </row>
    <row r="44" spans="1:29" ht="15.75">
      <c r="A44" s="9"/>
      <c r="B44" s="232"/>
      <c r="C44" s="105"/>
      <c r="D44" s="105"/>
      <c r="E44" s="105"/>
      <c r="F44" s="105"/>
      <c r="G44" s="106"/>
      <c r="H44" s="233"/>
      <c r="I44" s="234"/>
      <c r="J44" s="235"/>
      <c r="K44" s="233"/>
      <c r="L44" s="236"/>
      <c r="M44" s="237"/>
      <c r="N44" s="237"/>
      <c r="O44" s="238"/>
      <c r="P44" s="16"/>
      <c r="Q44" s="16"/>
      <c r="R44" s="11"/>
      <c r="S44" s="15"/>
      <c r="T44" s="11"/>
      <c r="U44" s="17"/>
      <c r="V44" s="18"/>
      <c r="W44" s="18"/>
      <c r="X44" s="18"/>
      <c r="Y44" s="18"/>
      <c r="Z44" s="18"/>
      <c r="AA44" s="13"/>
      <c r="AB44" s="13"/>
      <c r="AC44" s="13"/>
    </row>
    <row r="45" spans="22:26" ht="12.75">
      <c r="V45" s="1"/>
      <c r="W45" s="1"/>
      <c r="X45" s="1"/>
      <c r="Y45" s="1"/>
      <c r="Z45" s="1"/>
    </row>
    <row r="46" spans="22:26" ht="12.75" customHeight="1">
      <c r="V46" s="1"/>
      <c r="W46" s="1"/>
      <c r="X46" s="1"/>
      <c r="Y46" s="1"/>
      <c r="Z46" s="1"/>
    </row>
    <row r="47" spans="22:26" ht="12.75" customHeight="1">
      <c r="V47" s="1"/>
      <c r="W47" s="1"/>
      <c r="X47" s="1"/>
      <c r="Y47" s="1"/>
      <c r="Z47" s="1"/>
    </row>
    <row r="48" spans="22:26" ht="144" customHeight="1">
      <c r="V48" s="1"/>
      <c r="W48" s="1"/>
      <c r="X48" s="1"/>
      <c r="Y48" s="1"/>
      <c r="Z48" s="1"/>
    </row>
    <row r="49" spans="22:26" ht="12.75">
      <c r="V49" s="1"/>
      <c r="W49" s="1"/>
      <c r="X49" s="1"/>
      <c r="Y49" s="1"/>
      <c r="Z49" s="1"/>
    </row>
    <row r="50" spans="22:26" ht="12.75">
      <c r="V50" s="1"/>
      <c r="W50" s="1"/>
      <c r="X50" s="1"/>
      <c r="Y50" s="1"/>
      <c r="Z50" s="1"/>
    </row>
    <row r="51" spans="22:26" ht="12.75">
      <c r="V51" s="1"/>
      <c r="W51" s="1"/>
      <c r="X51" s="1"/>
      <c r="Y51" s="1"/>
      <c r="Z51" s="1"/>
    </row>
    <row r="52" spans="22:26" ht="12.75">
      <c r="V52" s="1"/>
      <c r="W52" s="1"/>
      <c r="X52" s="1"/>
      <c r="Y52" s="1"/>
      <c r="Z52" s="1"/>
    </row>
    <row r="53" spans="22:26" ht="12.75">
      <c r="V53" s="1"/>
      <c r="W53" s="1"/>
      <c r="X53" s="1"/>
      <c r="Y53" s="1"/>
      <c r="Z53" s="1"/>
    </row>
    <row r="54" spans="22:26" ht="12.75">
      <c r="V54" s="1"/>
      <c r="W54" s="1"/>
      <c r="X54" s="1"/>
      <c r="Y54" s="1"/>
      <c r="Z54" s="1"/>
    </row>
    <row r="55" spans="22:26" ht="12.75">
      <c r="V55" s="1"/>
      <c r="W55" s="1"/>
      <c r="X55" s="1"/>
      <c r="Y55" s="1"/>
      <c r="Z55" s="1"/>
    </row>
    <row r="56" spans="22:26" ht="12.75">
      <c r="V56" s="1"/>
      <c r="W56" s="1"/>
      <c r="X56" s="1"/>
      <c r="Y56" s="1"/>
      <c r="Z56" s="1"/>
    </row>
    <row r="57" spans="22:26" ht="12.75">
      <c r="V57" s="1"/>
      <c r="W57" s="1"/>
      <c r="X57" s="1"/>
      <c r="Y57" s="1"/>
      <c r="Z57" s="1"/>
    </row>
    <row r="58" spans="22:26" ht="12.75">
      <c r="V58" s="1"/>
      <c r="W58" s="1"/>
      <c r="X58" s="1"/>
      <c r="Y58" s="1"/>
      <c r="Z58" s="1"/>
    </row>
    <row r="59" spans="22:26" ht="12.75">
      <c r="V59" s="1"/>
      <c r="W59" s="1"/>
      <c r="X59" s="1"/>
      <c r="Y59" s="1"/>
      <c r="Z59" s="1"/>
    </row>
    <row r="60" spans="22:26" ht="12.75">
      <c r="V60" s="1"/>
      <c r="W60" s="1"/>
      <c r="X60" s="1"/>
      <c r="Y60" s="1"/>
      <c r="Z60" s="1"/>
    </row>
    <row r="61" spans="22:26" ht="12.75" customHeight="1">
      <c r="V61" s="1"/>
      <c r="W61" s="1"/>
      <c r="X61" s="1"/>
      <c r="Y61" s="1"/>
      <c r="Z61" s="1"/>
    </row>
    <row r="62" spans="22:26" ht="12.75" customHeight="1">
      <c r="V62" s="1"/>
      <c r="W62" s="1"/>
      <c r="X62" s="1"/>
      <c r="Y62" s="1"/>
      <c r="Z62" s="1"/>
    </row>
    <row r="63" spans="22:26" ht="135" customHeight="1">
      <c r="V63" s="1"/>
      <c r="W63" s="1"/>
      <c r="X63" s="1"/>
      <c r="Y63" s="1"/>
      <c r="Z63" s="1"/>
    </row>
    <row r="64" spans="22:26" ht="12.75">
      <c r="V64" s="1"/>
      <c r="W64" s="1"/>
      <c r="X64" s="1"/>
      <c r="Y64" s="1"/>
      <c r="Z64" s="1"/>
    </row>
    <row r="65" spans="22:26" ht="12.75">
      <c r="V65" s="1"/>
      <c r="W65" s="1"/>
      <c r="X65" s="1"/>
      <c r="Y65" s="1"/>
      <c r="Z65" s="1"/>
    </row>
    <row r="66" spans="22:26" ht="12.75">
      <c r="V66" s="1"/>
      <c r="W66" s="1"/>
      <c r="X66" s="1"/>
      <c r="Y66" s="1"/>
      <c r="Z66" s="1"/>
    </row>
    <row r="67" spans="22:26" ht="12.75">
      <c r="V67" s="1"/>
      <c r="W67" s="1"/>
      <c r="X67" s="1"/>
      <c r="Y67" s="1"/>
      <c r="Z67" s="1"/>
    </row>
    <row r="68" spans="22:26" ht="12.75">
      <c r="V68" s="1"/>
      <c r="W68" s="1"/>
      <c r="X68" s="1"/>
      <c r="Y68" s="1"/>
      <c r="Z68" s="1"/>
    </row>
    <row r="69" spans="22:26" ht="12.75">
      <c r="V69" s="1"/>
      <c r="W69" s="1"/>
      <c r="X69" s="1"/>
      <c r="Y69" s="1"/>
      <c r="Z69" s="1"/>
    </row>
    <row r="70" spans="22:26" ht="12.75">
      <c r="V70" s="1"/>
      <c r="W70" s="1"/>
      <c r="X70" s="1"/>
      <c r="Y70" s="1"/>
      <c r="Z70" s="1"/>
    </row>
    <row r="71" spans="22:26" ht="12.75">
      <c r="V71" s="1"/>
      <c r="W71" s="1"/>
      <c r="X71" s="1"/>
      <c r="Y71" s="1"/>
      <c r="Z71" s="1"/>
    </row>
    <row r="72" spans="22:26" ht="12.75">
      <c r="V72" s="1"/>
      <c r="W72" s="1"/>
      <c r="X72" s="1"/>
      <c r="Y72" s="1"/>
      <c r="Z72" s="1"/>
    </row>
    <row r="73" spans="22:26" ht="12.75">
      <c r="V73" s="1"/>
      <c r="W73" s="1"/>
      <c r="X73" s="1"/>
      <c r="Y73" s="1"/>
      <c r="Z73" s="1"/>
    </row>
  </sheetData>
  <sheetProtection/>
  <mergeCells count="29">
    <mergeCell ref="AA9:AA11"/>
    <mergeCell ref="AB9:AB11"/>
    <mergeCell ref="AC9:AC11"/>
    <mergeCell ref="Z9:Z11"/>
    <mergeCell ref="U9:U11"/>
    <mergeCell ref="V9:V11"/>
    <mergeCell ref="W9:W11"/>
    <mergeCell ref="Y9:Y11"/>
    <mergeCell ref="X9:X11"/>
    <mergeCell ref="S9:S11"/>
    <mergeCell ref="T9:T11"/>
    <mergeCell ref="O9:O11"/>
    <mergeCell ref="P9:P11"/>
    <mergeCell ref="Q9:Q11"/>
    <mergeCell ref="R9:R11"/>
    <mergeCell ref="M9:M11"/>
    <mergeCell ref="N9:N11"/>
    <mergeCell ref="I9:I11"/>
    <mergeCell ref="J9:J11"/>
    <mergeCell ref="K9:K11"/>
    <mergeCell ref="L9:L11"/>
    <mergeCell ref="E9:E11"/>
    <mergeCell ref="F9:F11"/>
    <mergeCell ref="G9:G11"/>
    <mergeCell ref="H9:H11"/>
    <mergeCell ref="A9:A11"/>
    <mergeCell ref="B9:B11"/>
    <mergeCell ref="C9:C11"/>
    <mergeCell ref="D9:D11"/>
  </mergeCells>
  <printOptions/>
  <pageMargins left="0" right="0" top="0" bottom="0" header="0" footer="0"/>
  <pageSetup fitToHeight="1" fitToWidth="1" horizontalDpi="600" verticalDpi="600" orientation="landscape" paperSize="9" scale="41" r:id="rId3"/>
  <headerFooter alignWithMargins="0"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="75" zoomScaleNormal="75" zoomScaleSheetLayoutView="75" zoomScalePageLayoutView="0" workbookViewId="0" topLeftCell="A1">
      <selection activeCell="A19" sqref="A19:C19"/>
    </sheetView>
  </sheetViews>
  <sheetFormatPr defaultColWidth="12.25390625" defaultRowHeight="12.75"/>
  <cols>
    <col min="1" max="1" width="26.875" style="4" customWidth="1"/>
    <col min="2" max="2" width="20.00390625" style="4" customWidth="1"/>
    <col min="3" max="3" width="19.75390625" style="4" customWidth="1"/>
    <col min="4" max="4" width="15.75390625" style="4" customWidth="1"/>
    <col min="5" max="6" width="16.375" style="4" customWidth="1"/>
    <col min="7" max="7" width="18.75390625" style="4" customWidth="1"/>
    <col min="8" max="8" width="14.125" style="4" customWidth="1"/>
    <col min="9" max="9" width="17.75390625" style="4" customWidth="1"/>
    <col min="10" max="16384" width="12.25390625" style="4" customWidth="1"/>
  </cols>
  <sheetData>
    <row r="1" spans="1:9" ht="12.75">
      <c r="A1" s="39"/>
      <c r="B1" s="39"/>
      <c r="C1" s="39"/>
      <c r="D1" s="39"/>
      <c r="E1" s="39"/>
      <c r="F1" s="39"/>
      <c r="G1" s="39"/>
      <c r="H1" s="67"/>
      <c r="I1" s="39"/>
    </row>
    <row r="2" spans="1:9" ht="12.75">
      <c r="A2" s="39"/>
      <c r="B2" s="39"/>
      <c r="C2" s="39"/>
      <c r="D2" s="39"/>
      <c r="E2" s="39"/>
      <c r="F2" s="39"/>
      <c r="G2" s="39"/>
      <c r="H2" s="67"/>
      <c r="I2" s="39"/>
    </row>
    <row r="8" spans="1:9" ht="15.75">
      <c r="A8" s="6"/>
      <c r="B8" s="32" t="s">
        <v>46</v>
      </c>
      <c r="C8" s="33"/>
      <c r="D8" s="33"/>
      <c r="E8" s="34"/>
      <c r="F8" s="5"/>
      <c r="G8" s="5"/>
      <c r="H8" s="5"/>
      <c r="I8" s="5"/>
    </row>
    <row r="9" ht="13.5" thickBot="1"/>
    <row r="10" spans="1:9" ht="63" customHeight="1">
      <c r="A10" s="250" t="s">
        <v>0</v>
      </c>
      <c r="B10" s="49" t="s">
        <v>36</v>
      </c>
      <c r="C10" s="49" t="s">
        <v>14</v>
      </c>
      <c r="D10" s="49" t="s">
        <v>30</v>
      </c>
      <c r="E10" s="253" t="s">
        <v>11</v>
      </c>
      <c r="F10" s="253" t="s">
        <v>48</v>
      </c>
      <c r="G10" s="253" t="s">
        <v>49</v>
      </c>
      <c r="H10" s="253" t="s">
        <v>50</v>
      </c>
      <c r="I10" s="253" t="s">
        <v>20</v>
      </c>
    </row>
    <row r="11" spans="1:9" ht="42" customHeight="1" thickBot="1">
      <c r="A11" s="251"/>
      <c r="B11" s="49" t="s">
        <v>47</v>
      </c>
      <c r="C11" s="49" t="s">
        <v>47</v>
      </c>
      <c r="D11" s="49" t="s">
        <v>53</v>
      </c>
      <c r="E11" s="254"/>
      <c r="F11" s="254"/>
      <c r="G11" s="254"/>
      <c r="H11" s="254"/>
      <c r="I11" s="254"/>
    </row>
    <row r="12" spans="1:9" ht="18.75">
      <c r="A12" s="50" t="s">
        <v>23</v>
      </c>
      <c r="B12" s="115">
        <f>1826</f>
        <v>1826</v>
      </c>
      <c r="C12" s="116">
        <v>30106.9</v>
      </c>
      <c r="D12" s="117">
        <f>6878</f>
        <v>6878</v>
      </c>
      <c r="E12" s="95">
        <v>7777</v>
      </c>
      <c r="F12" s="117">
        <f aca="true" t="shared" si="0" ref="F12:F17">B12+C12+D12</f>
        <v>38810.9</v>
      </c>
      <c r="G12" s="118">
        <f aca="true" t="shared" si="1" ref="G12:G17">F12/E12</f>
        <v>4.99047190433329</v>
      </c>
      <c r="H12" s="119">
        <f aca="true" t="shared" si="2" ref="H12:H18">(F12/E12)/(F$18/E$18)</f>
        <v>1.170309706349988</v>
      </c>
      <c r="I12" s="51"/>
    </row>
    <row r="13" spans="1:9" ht="18.75">
      <c r="A13" s="52" t="s">
        <v>24</v>
      </c>
      <c r="B13" s="115">
        <f>1143+15</f>
        <v>1158</v>
      </c>
      <c r="C13" s="116">
        <v>14800</v>
      </c>
      <c r="D13" s="117">
        <f>1903</f>
        <v>1903</v>
      </c>
      <c r="E13" s="95">
        <v>8291</v>
      </c>
      <c r="F13" s="117">
        <f t="shared" si="0"/>
        <v>17861</v>
      </c>
      <c r="G13" s="118">
        <f t="shared" si="1"/>
        <v>2.1542636593896995</v>
      </c>
      <c r="H13" s="119">
        <f t="shared" si="2"/>
        <v>0.5051938411739496</v>
      </c>
      <c r="I13" s="51"/>
    </row>
    <row r="14" spans="1:9" ht="18.75">
      <c r="A14" s="52" t="s">
        <v>25</v>
      </c>
      <c r="B14" s="115">
        <f>325+607</f>
        <v>932</v>
      </c>
      <c r="C14" s="116">
        <v>6419</v>
      </c>
      <c r="D14" s="120">
        <f>484+2739</f>
        <v>3223</v>
      </c>
      <c r="E14" s="95">
        <v>3602</v>
      </c>
      <c r="F14" s="117">
        <f t="shared" si="0"/>
        <v>10574</v>
      </c>
      <c r="G14" s="118">
        <f t="shared" si="1"/>
        <v>2.935591338145475</v>
      </c>
      <c r="H14" s="119">
        <f t="shared" si="2"/>
        <v>0.6884220776647327</v>
      </c>
      <c r="I14" s="51"/>
    </row>
    <row r="15" spans="1:9" ht="18.75">
      <c r="A15" s="52" t="s">
        <v>26</v>
      </c>
      <c r="B15" s="115">
        <f>108</f>
        <v>108</v>
      </c>
      <c r="C15" s="116">
        <v>14924.7</v>
      </c>
      <c r="D15" s="120">
        <f>153+13</f>
        <v>166</v>
      </c>
      <c r="E15" s="95">
        <v>1347</v>
      </c>
      <c r="F15" s="117">
        <f t="shared" si="0"/>
        <v>15198.7</v>
      </c>
      <c r="G15" s="118">
        <f t="shared" si="1"/>
        <v>11.283370452858204</v>
      </c>
      <c r="H15" s="119">
        <f t="shared" si="2"/>
        <v>2.646049955687861</v>
      </c>
      <c r="I15" s="51"/>
    </row>
    <row r="16" spans="1:9" ht="18.75">
      <c r="A16" s="52" t="s">
        <v>27</v>
      </c>
      <c r="B16" s="115">
        <f>24</f>
        <v>24</v>
      </c>
      <c r="C16" s="116">
        <v>9399.2</v>
      </c>
      <c r="D16" s="120">
        <f>130+40</f>
        <v>170</v>
      </c>
      <c r="E16" s="95">
        <v>1666</v>
      </c>
      <c r="F16" s="117">
        <f t="shared" si="0"/>
        <v>9593.2</v>
      </c>
      <c r="G16" s="118">
        <f t="shared" si="1"/>
        <v>5.758223289315727</v>
      </c>
      <c r="H16" s="119">
        <f t="shared" si="2"/>
        <v>1.3503541821296048</v>
      </c>
      <c r="I16" s="51"/>
    </row>
    <row r="17" spans="1:9" ht="18.75">
      <c r="A17" s="52" t="s">
        <v>28</v>
      </c>
      <c r="B17" s="115">
        <f>55</f>
        <v>55</v>
      </c>
      <c r="C17" s="116">
        <v>9542.3</v>
      </c>
      <c r="D17" s="120">
        <f>11+107</f>
        <v>118</v>
      </c>
      <c r="E17" s="95">
        <v>1179</v>
      </c>
      <c r="F17" s="117">
        <f t="shared" si="0"/>
        <v>9715.3</v>
      </c>
      <c r="G17" s="118">
        <f t="shared" si="1"/>
        <v>8.240288379983037</v>
      </c>
      <c r="H17" s="119">
        <f t="shared" si="2"/>
        <v>1.9324203520399401</v>
      </c>
      <c r="I17" s="51"/>
    </row>
    <row r="18" spans="1:9" ht="18.75">
      <c r="A18" s="28" t="s">
        <v>31</v>
      </c>
      <c r="B18" s="53">
        <f>SUM(B12:B17)</f>
        <v>4103</v>
      </c>
      <c r="C18" s="53">
        <f>SUM(C12:C17)</f>
        <v>85192.1</v>
      </c>
      <c r="D18" s="53">
        <f>SUM(D12:D17)</f>
        <v>12458</v>
      </c>
      <c r="E18" s="29">
        <f>SUM(E12:E17)</f>
        <v>23862</v>
      </c>
      <c r="F18" s="54">
        <f>SUM(F12:F17)</f>
        <v>101753.09999999999</v>
      </c>
      <c r="G18" s="30">
        <f>F18/E18</f>
        <v>4.26423183303998</v>
      </c>
      <c r="H18" s="31">
        <f t="shared" si="2"/>
        <v>1</v>
      </c>
      <c r="I18" s="107">
        <f>$G$18</f>
        <v>4.26423183303998</v>
      </c>
    </row>
    <row r="19" spans="1:9" ht="12.75">
      <c r="A19" s="252"/>
      <c r="B19" s="252"/>
      <c r="C19" s="252"/>
      <c r="D19" s="57"/>
      <c r="E19" s="57"/>
      <c r="F19" s="57"/>
      <c r="G19" s="57"/>
      <c r="H19" s="64"/>
      <c r="I19" s="57"/>
    </row>
    <row r="20" spans="1:9" ht="12.75">
      <c r="A20" s="57"/>
      <c r="B20" s="57"/>
      <c r="C20" s="57"/>
      <c r="D20" s="57"/>
      <c r="E20" s="57"/>
      <c r="F20" s="57"/>
      <c r="G20" s="57"/>
      <c r="H20" s="64"/>
      <c r="I20" s="57"/>
    </row>
    <row r="21" spans="1:9" ht="12.75">
      <c r="A21" s="57"/>
      <c r="B21" s="57"/>
      <c r="C21" s="57"/>
      <c r="D21" s="57"/>
      <c r="E21" s="57"/>
      <c r="F21" s="57"/>
      <c r="G21" s="57"/>
      <c r="H21" s="64"/>
      <c r="I21" s="57"/>
    </row>
    <row r="22" spans="1:9" ht="12.75">
      <c r="A22" s="57"/>
      <c r="B22" s="57"/>
      <c r="C22" s="57"/>
      <c r="D22" s="57"/>
      <c r="E22" s="57"/>
      <c r="F22" s="57"/>
      <c r="G22" s="57"/>
      <c r="H22" s="64"/>
      <c r="I22" s="57"/>
    </row>
    <row r="23" spans="1:9" ht="12.75">
      <c r="A23" s="57"/>
      <c r="B23" s="57"/>
      <c r="C23" s="57"/>
      <c r="D23" s="57"/>
      <c r="E23" s="57"/>
      <c r="F23" s="57"/>
      <c r="G23" s="57"/>
      <c r="H23" s="64"/>
      <c r="I23" s="57"/>
    </row>
    <row r="24" spans="1:9" ht="12.75">
      <c r="A24" s="57"/>
      <c r="B24" s="57"/>
      <c r="C24" s="57"/>
      <c r="D24" s="57"/>
      <c r="E24" s="57"/>
      <c r="F24" s="57"/>
      <c r="G24" s="57"/>
      <c r="H24" s="64"/>
      <c r="I24" s="57"/>
    </row>
    <row r="25" spans="1:9" ht="12.75">
      <c r="A25" s="57"/>
      <c r="B25" s="57"/>
      <c r="C25" s="57"/>
      <c r="D25" s="57"/>
      <c r="E25" s="57"/>
      <c r="F25" s="57"/>
      <c r="G25" s="57"/>
      <c r="H25" s="64"/>
      <c r="I25" s="57"/>
    </row>
    <row r="26" spans="1:9" ht="12.75">
      <c r="A26" s="57"/>
      <c r="B26" s="57"/>
      <c r="C26" s="57"/>
      <c r="D26" s="57"/>
      <c r="E26" s="57"/>
      <c r="F26" s="57"/>
      <c r="G26" s="57"/>
      <c r="H26" s="64"/>
      <c r="I26" s="57"/>
    </row>
    <row r="27" spans="1:9" ht="12.75">
      <c r="A27" s="57"/>
      <c r="B27" s="57"/>
      <c r="C27" s="57"/>
      <c r="D27" s="57"/>
      <c r="E27" s="57"/>
      <c r="F27" s="57"/>
      <c r="G27" s="57"/>
      <c r="H27" s="64"/>
      <c r="I27" s="57"/>
    </row>
    <row r="28" spans="1:9" ht="12.75">
      <c r="A28" s="57"/>
      <c r="B28" s="57"/>
      <c r="C28" s="57"/>
      <c r="D28" s="57"/>
      <c r="E28" s="57"/>
      <c r="F28" s="57"/>
      <c r="G28" s="57"/>
      <c r="H28" s="64"/>
      <c r="I28" s="57"/>
    </row>
    <row r="29" spans="1:9" ht="12.75">
      <c r="A29" s="57"/>
      <c r="B29" s="57"/>
      <c r="C29" s="57"/>
      <c r="D29" s="57"/>
      <c r="E29" s="57"/>
      <c r="F29" s="57"/>
      <c r="G29" s="57"/>
      <c r="H29" s="64"/>
      <c r="I29" s="57"/>
    </row>
    <row r="30" spans="1:9" ht="12.75">
      <c r="A30" s="57"/>
      <c r="B30" s="57"/>
      <c r="C30" s="57"/>
      <c r="D30" s="57"/>
      <c r="E30" s="57"/>
      <c r="F30" s="57"/>
      <c r="G30" s="57"/>
      <c r="H30" s="64"/>
      <c r="I30" s="57"/>
    </row>
    <row r="31" spans="1:9" ht="12.75">
      <c r="A31" s="57"/>
      <c r="B31" s="57"/>
      <c r="C31" s="57"/>
      <c r="D31" s="57"/>
      <c r="E31" s="57"/>
      <c r="F31" s="57"/>
      <c r="G31" s="57"/>
      <c r="H31" s="64"/>
      <c r="I31" s="57"/>
    </row>
    <row r="32" spans="1:9" ht="12.75">
      <c r="A32" s="57"/>
      <c r="B32" s="57"/>
      <c r="C32" s="57"/>
      <c r="D32" s="57"/>
      <c r="E32" s="57"/>
      <c r="F32" s="57"/>
      <c r="G32" s="57"/>
      <c r="H32" s="64"/>
      <c r="I32" s="57"/>
    </row>
    <row r="33" spans="1:9" ht="12.75">
      <c r="A33" s="57"/>
      <c r="B33" s="57"/>
      <c r="C33" s="57"/>
      <c r="D33" s="57"/>
      <c r="E33" s="57"/>
      <c r="F33" s="57"/>
      <c r="G33" s="57"/>
      <c r="H33" s="64"/>
      <c r="I33" s="57"/>
    </row>
    <row r="34" spans="1:9" ht="12.75">
      <c r="A34" s="57"/>
      <c r="B34" s="57"/>
      <c r="C34" s="57"/>
      <c r="D34" s="57"/>
      <c r="E34" s="57"/>
      <c r="F34" s="57"/>
      <c r="G34" s="57"/>
      <c r="H34" s="64"/>
      <c r="I34" s="57"/>
    </row>
    <row r="35" spans="1:9" ht="12.75">
      <c r="A35" s="57"/>
      <c r="B35" s="57"/>
      <c r="C35" s="57"/>
      <c r="D35" s="57"/>
      <c r="E35" s="57"/>
      <c r="F35" s="57"/>
      <c r="G35" s="57"/>
      <c r="H35" s="64"/>
      <c r="I35" s="57"/>
    </row>
    <row r="36" spans="1:9" ht="12.75">
      <c r="A36" s="57"/>
      <c r="B36" s="57"/>
      <c r="C36" s="57"/>
      <c r="D36" s="57"/>
      <c r="E36" s="57"/>
      <c r="F36" s="57"/>
      <c r="G36" s="57"/>
      <c r="H36" s="64"/>
      <c r="I36" s="57"/>
    </row>
    <row r="37" spans="1:9" ht="12.75">
      <c r="A37" s="57"/>
      <c r="B37" s="57"/>
      <c r="C37" s="57"/>
      <c r="D37" s="57"/>
      <c r="E37" s="57"/>
      <c r="F37" s="57"/>
      <c r="G37" s="57"/>
      <c r="H37" s="64"/>
      <c r="I37" s="57"/>
    </row>
    <row r="38" spans="1:9" ht="12.75">
      <c r="A38" s="57"/>
      <c r="B38" s="57"/>
      <c r="C38" s="57"/>
      <c r="D38" s="57"/>
      <c r="E38" s="57"/>
      <c r="F38" s="57"/>
      <c r="G38" s="57"/>
      <c r="H38" s="64"/>
      <c r="I38" s="57"/>
    </row>
    <row r="39" spans="1:9" ht="12.75">
      <c r="A39" s="57"/>
      <c r="B39" s="57"/>
      <c r="C39" s="57"/>
      <c r="D39" s="57"/>
      <c r="E39" s="57"/>
      <c r="F39" s="57"/>
      <c r="G39" s="57"/>
      <c r="H39" s="64"/>
      <c r="I39" s="57"/>
    </row>
    <row r="40" spans="1:9" ht="12.75">
      <c r="A40" s="57"/>
      <c r="B40" s="57"/>
      <c r="C40" s="57"/>
      <c r="D40" s="57"/>
      <c r="E40" s="57"/>
      <c r="F40" s="57"/>
      <c r="G40" s="57"/>
      <c r="H40" s="64"/>
      <c r="I40" s="57"/>
    </row>
    <row r="41" spans="1:9" ht="12.75">
      <c r="A41" s="57"/>
      <c r="B41" s="57"/>
      <c r="C41" s="57"/>
      <c r="D41" s="57"/>
      <c r="E41" s="57"/>
      <c r="F41" s="57"/>
      <c r="G41" s="57"/>
      <c r="H41" s="64"/>
      <c r="I41" s="57"/>
    </row>
    <row r="42" spans="1:9" ht="12.75">
      <c r="A42" s="57"/>
      <c r="B42" s="57"/>
      <c r="C42" s="57"/>
      <c r="D42" s="57"/>
      <c r="E42" s="57"/>
      <c r="F42" s="57"/>
      <c r="G42" s="57"/>
      <c r="H42" s="64"/>
      <c r="I42" s="57"/>
    </row>
    <row r="44" spans="1:6" ht="12.75">
      <c r="A44" s="227"/>
      <c r="B44" s="227"/>
      <c r="C44" s="227"/>
      <c r="D44" s="227"/>
      <c r="E44" s="227"/>
      <c r="F44" s="227"/>
    </row>
    <row r="45" spans="1:9" ht="15.75">
      <c r="A45" s="228"/>
      <c r="B45" s="229"/>
      <c r="C45" s="230"/>
      <c r="D45" s="230"/>
      <c r="E45" s="231"/>
      <c r="F45" s="231"/>
      <c r="G45" s="5"/>
      <c r="H45" s="5"/>
      <c r="I45" s="5"/>
    </row>
    <row r="46" spans="1:6" ht="12.75">
      <c r="A46" s="227"/>
      <c r="B46" s="227"/>
      <c r="C46" s="227"/>
      <c r="D46" s="227"/>
      <c r="E46" s="227"/>
      <c r="F46" s="227"/>
    </row>
    <row r="61" spans="1:9" ht="15.75">
      <c r="A61" s="255"/>
      <c r="B61" s="199"/>
      <c r="C61" s="199"/>
      <c r="D61" s="199"/>
      <c r="E61" s="255"/>
      <c r="F61" s="255"/>
      <c r="G61" s="255"/>
      <c r="H61" s="255"/>
      <c r="I61" s="255"/>
    </row>
    <row r="62" spans="1:9" ht="15.75">
      <c r="A62" s="255"/>
      <c r="B62" s="199"/>
      <c r="C62" s="199"/>
      <c r="D62" s="199"/>
      <c r="E62" s="255"/>
      <c r="F62" s="255"/>
      <c r="G62" s="255"/>
      <c r="H62" s="255"/>
      <c r="I62" s="255"/>
    </row>
    <row r="63" spans="1:9" ht="18.75">
      <c r="A63" s="200"/>
      <c r="B63" s="201"/>
      <c r="C63" s="202"/>
      <c r="D63" s="203"/>
      <c r="E63" s="204"/>
      <c r="F63" s="203"/>
      <c r="G63" s="205"/>
      <c r="H63" s="206"/>
      <c r="I63" s="207"/>
    </row>
    <row r="64" spans="1:9" ht="18.75">
      <c r="A64" s="200"/>
      <c r="B64" s="201"/>
      <c r="C64" s="202"/>
      <c r="D64" s="203"/>
      <c r="E64" s="204"/>
      <c r="F64" s="203"/>
      <c r="G64" s="205"/>
      <c r="H64" s="206"/>
      <c r="I64" s="207"/>
    </row>
    <row r="65" spans="1:9" ht="18.75">
      <c r="A65" s="200"/>
      <c r="B65" s="201"/>
      <c r="C65" s="202"/>
      <c r="D65" s="208"/>
      <c r="E65" s="204"/>
      <c r="F65" s="203"/>
      <c r="G65" s="205"/>
      <c r="H65" s="206"/>
      <c r="I65" s="207"/>
    </row>
    <row r="66" spans="1:9" ht="18.75">
      <c r="A66" s="200"/>
      <c r="B66" s="201"/>
      <c r="C66" s="202"/>
      <c r="D66" s="208"/>
      <c r="E66" s="204"/>
      <c r="F66" s="203"/>
      <c r="G66" s="205"/>
      <c r="H66" s="206"/>
      <c r="I66" s="207"/>
    </row>
    <row r="67" spans="1:9" ht="18.75">
      <c r="A67" s="200"/>
      <c r="B67" s="201"/>
      <c r="C67" s="202"/>
      <c r="D67" s="208"/>
      <c r="E67" s="204"/>
      <c r="F67" s="203"/>
      <c r="G67" s="205"/>
      <c r="H67" s="206"/>
      <c r="I67" s="207"/>
    </row>
    <row r="68" spans="1:9" ht="18.75">
      <c r="A68" s="200"/>
      <c r="B68" s="201"/>
      <c r="C68" s="202"/>
      <c r="D68" s="208"/>
      <c r="E68" s="204"/>
      <c r="F68" s="203"/>
      <c r="G68" s="205"/>
      <c r="H68" s="206"/>
      <c r="I68" s="207"/>
    </row>
    <row r="69" spans="1:9" ht="18.75">
      <c r="A69" s="209"/>
      <c r="B69" s="210"/>
      <c r="C69" s="210"/>
      <c r="D69" s="210"/>
      <c r="E69" s="211"/>
      <c r="F69" s="212"/>
      <c r="G69" s="213"/>
      <c r="H69" s="214"/>
      <c r="I69" s="215"/>
    </row>
    <row r="70" spans="1:9" ht="12.75">
      <c r="A70" s="108"/>
      <c r="B70" s="108"/>
      <c r="C70" s="108"/>
      <c r="D70" s="108"/>
      <c r="E70" s="108"/>
      <c r="F70" s="108"/>
      <c r="G70" s="108"/>
      <c r="H70" s="108"/>
      <c r="I70" s="108"/>
    </row>
  </sheetData>
  <sheetProtection/>
  <mergeCells count="13">
    <mergeCell ref="F61:F62"/>
    <mergeCell ref="F10:F11"/>
    <mergeCell ref="E10:E11"/>
    <mergeCell ref="A10:A11"/>
    <mergeCell ref="A19:C19"/>
    <mergeCell ref="G10:G11"/>
    <mergeCell ref="I10:I11"/>
    <mergeCell ref="H10:H11"/>
    <mergeCell ref="G61:G62"/>
    <mergeCell ref="H61:H62"/>
    <mergeCell ref="I61:I62"/>
    <mergeCell ref="A61:A62"/>
    <mergeCell ref="E61:E62"/>
  </mergeCells>
  <printOptions/>
  <pageMargins left="0" right="0" top="0" bottom="0" header="0" footer="0"/>
  <pageSetup horizontalDpi="600" verticalDpi="600" orientation="landscape" paperSize="9" scale="85" r:id="rId1"/>
  <headerFooter alignWithMargins="0">
    <oddFooter>&amp;CСтраница &amp;P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43"/>
  <sheetViews>
    <sheetView zoomScale="75" zoomScaleNormal="75" zoomScalePageLayoutView="0" workbookViewId="0" topLeftCell="B1">
      <selection activeCell="N30" sqref="N30"/>
    </sheetView>
  </sheetViews>
  <sheetFormatPr defaultColWidth="9.00390625" defaultRowHeight="12.75"/>
  <cols>
    <col min="1" max="1" width="9.125" style="7" hidden="1" customWidth="1"/>
    <col min="2" max="2" width="70.00390625" style="7" customWidth="1"/>
    <col min="3" max="3" width="16.00390625" style="7" customWidth="1"/>
    <col min="4" max="4" width="16.375" style="7" customWidth="1"/>
    <col min="5" max="5" width="16.75390625" style="7" customWidth="1"/>
    <col min="6" max="6" width="15.25390625" style="7" customWidth="1"/>
    <col min="7" max="7" width="12.625" style="7" customWidth="1"/>
    <col min="8" max="8" width="10.125" style="7" customWidth="1"/>
    <col min="9" max="9" width="11.00390625" style="7" customWidth="1"/>
    <col min="10" max="10" width="11.875" style="7" customWidth="1"/>
    <col min="11" max="16384" width="9.125" style="7" customWidth="1"/>
  </cols>
  <sheetData>
    <row r="1" ht="15.75">
      <c r="B1" s="83"/>
    </row>
    <row r="2" spans="2:10" ht="21.75" customHeight="1">
      <c r="B2" s="71"/>
      <c r="C2" s="71"/>
      <c r="D2" s="72"/>
      <c r="E2" s="72"/>
      <c r="F2" s="72"/>
      <c r="G2" s="8"/>
      <c r="H2" s="8"/>
      <c r="I2" s="8"/>
      <c r="J2" s="8"/>
    </row>
    <row r="3" spans="2:10" ht="22.5" customHeight="1">
      <c r="B3" s="77"/>
      <c r="C3" s="78"/>
      <c r="D3" s="78"/>
      <c r="E3" s="84"/>
      <c r="F3" s="8"/>
      <c r="G3" s="8"/>
      <c r="H3" s="8"/>
      <c r="I3" s="8"/>
      <c r="J3" s="8"/>
    </row>
    <row r="4" spans="2:10" ht="40.5" customHeight="1" hidden="1">
      <c r="B4" s="77"/>
      <c r="C4" s="79"/>
      <c r="D4" s="79"/>
      <c r="E4" s="79"/>
      <c r="F4" s="79"/>
      <c r="G4" s="8"/>
      <c r="H4" s="8"/>
      <c r="I4" s="8"/>
      <c r="J4" s="8"/>
    </row>
    <row r="5" spans="2:10" ht="48" customHeight="1" hidden="1">
      <c r="B5" s="77"/>
      <c r="C5" s="79"/>
      <c r="D5" s="85"/>
      <c r="E5" s="85"/>
      <c r="F5" s="85"/>
      <c r="G5" s="8"/>
      <c r="H5" s="8"/>
      <c r="I5" s="8"/>
      <c r="J5" s="8"/>
    </row>
    <row r="6" spans="2:10" ht="15" hidden="1">
      <c r="B6" s="8"/>
      <c r="C6" s="8"/>
      <c r="D6" s="8"/>
      <c r="E6" s="8"/>
      <c r="F6" s="8"/>
      <c r="G6" s="8"/>
      <c r="H6" s="8"/>
      <c r="I6" s="8"/>
      <c r="J6" s="8"/>
    </row>
    <row r="7" spans="2:10" ht="25.5" customHeight="1" hidden="1">
      <c r="B7" s="256"/>
      <c r="C7" s="256"/>
      <c r="D7" s="19"/>
      <c r="E7" s="8"/>
      <c r="F7" s="8"/>
      <c r="G7" s="8"/>
      <c r="H7" s="8"/>
      <c r="I7" s="8"/>
      <c r="J7" s="8"/>
    </row>
    <row r="8" spans="2:10" ht="20.25" customHeight="1" hidden="1">
      <c r="B8" s="8"/>
      <c r="C8" s="20"/>
      <c r="D8" s="20"/>
      <c r="E8" s="8"/>
      <c r="F8" s="8"/>
      <c r="G8" s="8"/>
      <c r="H8" s="8"/>
      <c r="I8" s="8"/>
      <c r="J8" s="8"/>
    </row>
    <row r="9" spans="2:10" ht="22.5" customHeight="1" hidden="1">
      <c r="B9" s="8"/>
      <c r="C9" s="20"/>
      <c r="D9" s="20"/>
      <c r="E9" s="8"/>
      <c r="F9" s="8"/>
      <c r="G9" s="8"/>
      <c r="H9" s="8"/>
      <c r="I9" s="8"/>
      <c r="J9" s="8"/>
    </row>
    <row r="10" spans="2:10" ht="20.25" customHeight="1" hidden="1">
      <c r="B10" s="43"/>
      <c r="C10" s="20"/>
      <c r="D10" s="20"/>
      <c r="E10" s="8"/>
      <c r="F10" s="8"/>
      <c r="G10" s="8"/>
      <c r="H10" s="8"/>
      <c r="I10" s="8"/>
      <c r="J10" s="8"/>
    </row>
    <row r="11" spans="2:10" ht="15" hidden="1">
      <c r="B11" s="8"/>
      <c r="C11" s="8"/>
      <c r="D11" s="20"/>
      <c r="E11" s="8"/>
      <c r="F11" s="8"/>
      <c r="G11" s="8"/>
      <c r="H11" s="8"/>
      <c r="I11" s="8"/>
      <c r="J11" s="8"/>
    </row>
    <row r="12" spans="2:11" ht="37.5" customHeight="1" hidden="1">
      <c r="B12" s="256"/>
      <c r="C12" s="256"/>
      <c r="D12" s="19"/>
      <c r="E12" s="72"/>
      <c r="F12" s="86"/>
      <c r="G12" s="86"/>
      <c r="H12" s="87"/>
      <c r="I12" s="87"/>
      <c r="J12" s="87"/>
      <c r="K12" s="8"/>
    </row>
    <row r="13" spans="2:11" ht="30" customHeight="1" hidden="1">
      <c r="B13" s="68"/>
      <c r="C13" s="21"/>
      <c r="D13" s="68"/>
      <c r="E13" s="69"/>
      <c r="F13" s="42"/>
      <c r="G13" s="42"/>
      <c r="H13" s="40"/>
      <c r="I13" s="40"/>
      <c r="J13" s="40"/>
      <c r="K13" s="8"/>
    </row>
    <row r="14" spans="2:11" ht="15.75" hidden="1">
      <c r="B14" s="68"/>
      <c r="C14" s="21"/>
      <c r="D14" s="68"/>
      <c r="E14" s="69"/>
      <c r="F14" s="42"/>
      <c r="G14" s="42"/>
      <c r="H14" s="40"/>
      <c r="I14" s="40"/>
      <c r="J14" s="40"/>
      <c r="K14" s="8"/>
    </row>
    <row r="15" spans="2:11" ht="31.5" customHeight="1" hidden="1">
      <c r="B15" s="68"/>
      <c r="C15" s="21"/>
      <c r="D15" s="68"/>
      <c r="E15" s="69"/>
      <c r="F15" s="42"/>
      <c r="G15" s="42"/>
      <c r="H15" s="40"/>
      <c r="I15" s="40"/>
      <c r="J15" s="40"/>
      <c r="K15" s="8"/>
    </row>
    <row r="16" spans="2:11" ht="15.75" hidden="1">
      <c r="B16" s="44"/>
      <c r="C16" s="21"/>
      <c r="D16" s="45"/>
      <c r="E16" s="46"/>
      <c r="F16" s="41"/>
      <c r="G16" s="41"/>
      <c r="H16" s="41"/>
      <c r="I16" s="41"/>
      <c r="J16" s="41"/>
      <c r="K16" s="8"/>
    </row>
    <row r="17" spans="2:11" ht="15" hidden="1">
      <c r="B17" s="47"/>
      <c r="C17" s="21"/>
      <c r="D17" s="21"/>
      <c r="E17" s="8"/>
      <c r="F17" s="8"/>
      <c r="G17" s="8"/>
      <c r="H17" s="8"/>
      <c r="I17" s="8"/>
      <c r="J17" s="8"/>
      <c r="K17" s="8"/>
    </row>
    <row r="18" spans="2:6" ht="15.75" hidden="1">
      <c r="B18" s="70"/>
      <c r="C18" s="8"/>
      <c r="D18" s="71"/>
      <c r="E18" s="72"/>
      <c r="F18" s="72"/>
    </row>
    <row r="19" spans="2:6" ht="15" hidden="1">
      <c r="B19" s="73"/>
      <c r="C19" s="74"/>
      <c r="D19" s="75"/>
      <c r="E19" s="74"/>
      <c r="F19" s="74"/>
    </row>
    <row r="20" spans="2:6" ht="15" hidden="1">
      <c r="B20" s="73"/>
      <c r="C20" s="74"/>
      <c r="D20" s="74"/>
      <c r="E20" s="74"/>
      <c r="F20" s="74"/>
    </row>
    <row r="21" spans="2:6" ht="15" hidden="1">
      <c r="B21" s="8"/>
      <c r="C21" s="8"/>
      <c r="D21" s="8"/>
      <c r="E21" s="8"/>
      <c r="F21" s="8"/>
    </row>
    <row r="22" spans="2:6" ht="15" hidden="1">
      <c r="B22" s="8"/>
      <c r="C22" s="76"/>
      <c r="D22" s="76"/>
      <c r="E22" s="76"/>
      <c r="F22" s="76"/>
    </row>
    <row r="23" ht="15" hidden="1"/>
    <row r="24" ht="15">
      <c r="E24" s="88"/>
    </row>
    <row r="25" ht="6" customHeight="1" thickBot="1">
      <c r="E25" s="88"/>
    </row>
    <row r="26" spans="2:6" ht="30.75" customHeight="1">
      <c r="B26" s="258" t="s">
        <v>43</v>
      </c>
      <c r="C26" s="259"/>
      <c r="D26" s="259"/>
      <c r="E26" s="259"/>
      <c r="F26" s="260"/>
    </row>
    <row r="27" spans="2:6" ht="15.75">
      <c r="B27" s="142"/>
      <c r="C27" s="143" t="s">
        <v>44</v>
      </c>
      <c r="D27" s="144" t="s">
        <v>45</v>
      </c>
      <c r="E27" s="144"/>
      <c r="F27" s="145"/>
    </row>
    <row r="28" spans="2:6" ht="62.25" customHeight="1">
      <c r="B28" s="146" t="s">
        <v>8</v>
      </c>
      <c r="C28" s="147">
        <v>0</v>
      </c>
      <c r="D28" s="148">
        <v>0</v>
      </c>
      <c r="E28" s="148"/>
      <c r="F28" s="149"/>
    </row>
    <row r="29" spans="2:6" ht="24.75" customHeight="1">
      <c r="B29" s="150" t="s">
        <v>73</v>
      </c>
      <c r="C29" s="151">
        <v>45692.2</v>
      </c>
      <c r="D29" s="152">
        <f>C29*D31*100</f>
        <v>47748.348999999995</v>
      </c>
      <c r="E29" s="152"/>
      <c r="F29" s="153"/>
    </row>
    <row r="30" spans="2:6" ht="38.25" customHeight="1">
      <c r="B30" s="154" t="s">
        <v>54</v>
      </c>
      <c r="C30" s="151"/>
      <c r="D30" s="152"/>
      <c r="E30" s="152"/>
      <c r="F30" s="152"/>
    </row>
    <row r="31" spans="2:6" ht="18.75">
      <c r="B31" s="124" t="s">
        <v>55</v>
      </c>
      <c r="C31" s="124"/>
      <c r="D31" s="155">
        <v>0.01045</v>
      </c>
      <c r="E31" s="155"/>
      <c r="F31" s="155"/>
    </row>
    <row r="32" spans="2:6" ht="36" customHeight="1">
      <c r="B32" s="257" t="s">
        <v>41</v>
      </c>
      <c r="C32" s="257"/>
      <c r="D32" s="156"/>
      <c r="E32" s="144" t="s">
        <v>44</v>
      </c>
      <c r="F32" s="157">
        <f>F33+F34+F35</f>
        <v>310829.6</v>
      </c>
    </row>
    <row r="33" spans="2:6" ht="37.5">
      <c r="B33" s="158" t="s">
        <v>58</v>
      </c>
      <c r="C33" s="159"/>
      <c r="D33" s="160"/>
      <c r="E33" s="161">
        <f>F33/F32*100%</f>
        <v>0.00808449388346541</v>
      </c>
      <c r="F33" s="162">
        <v>2512.9</v>
      </c>
    </row>
    <row r="34" spans="2:6" ht="42" customHeight="1">
      <c r="B34" s="163" t="s">
        <v>59</v>
      </c>
      <c r="C34" s="164"/>
      <c r="D34" s="160"/>
      <c r="E34" s="161">
        <f>F34/F32*100%</f>
        <v>0.44990985414516504</v>
      </c>
      <c r="F34" s="162">
        <v>139845.3</v>
      </c>
    </row>
    <row r="35" spans="2:6" ht="18.75">
      <c r="B35" s="124" t="s">
        <v>60</v>
      </c>
      <c r="C35" s="164"/>
      <c r="D35" s="160"/>
      <c r="E35" s="161">
        <f>F35/F32*100%</f>
        <v>0.5420056519713695</v>
      </c>
      <c r="F35" s="162">
        <v>168471.4</v>
      </c>
    </row>
    <row r="36" spans="2:6" ht="18.75">
      <c r="B36" s="165"/>
      <c r="C36" s="124"/>
      <c r="D36" s="144" t="s">
        <v>45</v>
      </c>
      <c r="E36" s="144"/>
      <c r="F36" s="145"/>
    </row>
    <row r="37" spans="2:6" ht="55.5" customHeight="1">
      <c r="B37" s="166" t="s">
        <v>72</v>
      </c>
      <c r="C37" s="167">
        <f>C38+C39</f>
        <v>163731.2</v>
      </c>
      <c r="D37" s="167">
        <f>D38+D39</f>
        <v>172778.549</v>
      </c>
      <c r="E37" s="167">
        <f>E38+E39</f>
        <v>0</v>
      </c>
      <c r="F37" s="167">
        <f>F38+F39</f>
        <v>0</v>
      </c>
    </row>
    <row r="38" spans="2:6" ht="37.5">
      <c r="B38" s="168" t="s">
        <v>77</v>
      </c>
      <c r="C38" s="169">
        <v>37740.3</v>
      </c>
      <c r="D38" s="152">
        <v>40691.9</v>
      </c>
      <c r="E38" s="152"/>
      <c r="F38" s="153"/>
    </row>
    <row r="39" spans="2:6" ht="59.25" customHeight="1" thickBot="1">
      <c r="B39" s="170" t="s">
        <v>79</v>
      </c>
      <c r="C39" s="171">
        <f>80298.7+C29</f>
        <v>125990.9</v>
      </c>
      <c r="D39" s="172">
        <f>84338.3+D29</f>
        <v>132086.649</v>
      </c>
      <c r="E39" s="172"/>
      <c r="F39" s="173"/>
    </row>
    <row r="40" spans="2:6" ht="18.75">
      <c r="B40" s="174" t="s">
        <v>78</v>
      </c>
      <c r="C40" s="175">
        <v>0.65</v>
      </c>
      <c r="D40" s="176"/>
      <c r="E40" s="176"/>
      <c r="F40" s="177"/>
    </row>
    <row r="41" spans="2:6" ht="38.25" thickBot="1">
      <c r="B41" s="178" t="s">
        <v>63</v>
      </c>
      <c r="C41" s="179">
        <v>0.042</v>
      </c>
      <c r="D41" s="180"/>
      <c r="E41" s="180"/>
      <c r="F41" s="181"/>
    </row>
    <row r="42" spans="2:6" ht="19.5" thickBot="1">
      <c r="B42" s="182" t="s">
        <v>16</v>
      </c>
      <c r="C42" s="183"/>
      <c r="D42" s="184">
        <f>(ИНП!$F$18+$D$39)/ИНП!$F$18</f>
        <v>2.2981093352438404</v>
      </c>
      <c r="E42" s="184"/>
      <c r="F42" s="184"/>
    </row>
    <row r="43" spans="4:7" ht="15">
      <c r="D43" s="80"/>
      <c r="E43" s="80"/>
      <c r="F43" s="80"/>
      <c r="G43" s="80"/>
    </row>
  </sheetData>
  <sheetProtection/>
  <mergeCells count="4">
    <mergeCell ref="B12:C12"/>
    <mergeCell ref="B7:C7"/>
    <mergeCell ref="B32:C32"/>
    <mergeCell ref="B26:F26"/>
  </mergeCells>
  <printOptions/>
  <pageMargins left="0" right="0" top="0" bottom="0" header="0.5118110236220472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F16"/>
  <sheetViews>
    <sheetView tabSelected="1" zoomScalePageLayoutView="0" workbookViewId="0" topLeftCell="B1">
      <pane xSplit="1" topLeftCell="Q1" activePane="topRight" state="frozen"/>
      <selection pane="topLeft" activeCell="B1" sqref="B1"/>
      <selection pane="topRight" activeCell="AC8" sqref="AC8"/>
    </sheetView>
  </sheetViews>
  <sheetFormatPr defaultColWidth="9.00390625" defaultRowHeight="12.75"/>
  <cols>
    <col min="1" max="1" width="11.25390625" style="4" customWidth="1"/>
    <col min="2" max="2" width="23.375" style="1" customWidth="1"/>
    <col min="3" max="3" width="13.75390625" style="1" customWidth="1"/>
    <col min="4" max="4" width="9.375" style="1" customWidth="1"/>
    <col min="5" max="5" width="11.00390625" style="1" customWidth="1"/>
    <col min="6" max="6" width="11.625" style="4" customWidth="1"/>
    <col min="7" max="7" width="11.75390625" style="4" customWidth="1"/>
    <col min="8" max="8" width="14.75390625" style="4" customWidth="1"/>
    <col min="9" max="9" width="11.875" style="4" customWidth="1"/>
    <col min="10" max="10" width="14.875" style="4" customWidth="1"/>
    <col min="11" max="11" width="13.00390625" style="4" customWidth="1"/>
    <col min="12" max="12" width="12.875" style="4" customWidth="1"/>
    <col min="13" max="13" width="13.00390625" style="4" customWidth="1"/>
    <col min="14" max="14" width="11.75390625" style="4" customWidth="1"/>
    <col min="15" max="15" width="16.375" style="4" customWidth="1"/>
    <col min="16" max="16" width="12.375" style="4" customWidth="1"/>
    <col min="17" max="17" width="13.00390625" style="4" customWidth="1"/>
    <col min="18" max="19" width="14.25390625" style="4" customWidth="1"/>
    <col min="20" max="20" width="14.875" style="4" customWidth="1"/>
    <col min="21" max="21" width="17.25390625" style="4" customWidth="1"/>
    <col min="22" max="22" width="11.625" style="4" customWidth="1"/>
    <col min="23" max="23" width="12.375" style="4" customWidth="1"/>
    <col min="24" max="24" width="13.75390625" style="4" hidden="1" customWidth="1"/>
    <col min="25" max="25" width="12.25390625" style="4" hidden="1" customWidth="1"/>
    <col min="26" max="26" width="17.125" style="4" customWidth="1"/>
    <col min="27" max="27" width="13.625" style="4" customWidth="1"/>
    <col min="28" max="28" width="13.875" style="4" customWidth="1"/>
    <col min="29" max="16384" width="9.125" style="4" customWidth="1"/>
  </cols>
  <sheetData>
    <row r="3" spans="3:10" ht="15">
      <c r="C3" s="35" t="s">
        <v>52</v>
      </c>
      <c r="D3" s="36"/>
      <c r="E3" s="36"/>
      <c r="F3" s="37"/>
      <c r="G3" s="37"/>
      <c r="H3" s="37"/>
      <c r="I3" s="37"/>
      <c r="J3" s="37"/>
    </row>
    <row r="5" ht="16.5" customHeight="1" thickBot="1">
      <c r="W5" s="4" t="s">
        <v>42</v>
      </c>
    </row>
    <row r="6" spans="1:32" ht="12.75" customHeight="1">
      <c r="A6" s="262" t="s">
        <v>9</v>
      </c>
      <c r="B6" s="244" t="s">
        <v>0</v>
      </c>
      <c r="C6" s="244" t="s">
        <v>1</v>
      </c>
      <c r="D6" s="244" t="s">
        <v>3</v>
      </c>
      <c r="E6" s="244" t="s">
        <v>4</v>
      </c>
      <c r="F6" s="244" t="s">
        <v>15</v>
      </c>
      <c r="G6" s="244" t="s">
        <v>75</v>
      </c>
      <c r="H6" s="244" t="s">
        <v>33</v>
      </c>
      <c r="I6" s="244" t="s">
        <v>32</v>
      </c>
      <c r="J6" s="244" t="s">
        <v>34</v>
      </c>
      <c r="K6" s="244" t="s">
        <v>35</v>
      </c>
      <c r="L6" s="244" t="s">
        <v>74</v>
      </c>
      <c r="M6" s="244" t="s">
        <v>17</v>
      </c>
      <c r="N6" s="244" t="s">
        <v>80</v>
      </c>
      <c r="O6" s="274" t="s">
        <v>40</v>
      </c>
      <c r="P6" s="244" t="s">
        <v>5</v>
      </c>
      <c r="Q6" s="244" t="s">
        <v>19</v>
      </c>
      <c r="R6" s="244" t="s">
        <v>18</v>
      </c>
      <c r="S6" s="244" t="s">
        <v>21</v>
      </c>
      <c r="T6" s="244" t="s">
        <v>22</v>
      </c>
      <c r="U6" s="268" t="s">
        <v>39</v>
      </c>
      <c r="V6" s="268" t="s">
        <v>37</v>
      </c>
      <c r="W6" s="268" t="s">
        <v>38</v>
      </c>
      <c r="X6" s="244" t="s">
        <v>6</v>
      </c>
      <c r="Y6" s="271" t="s">
        <v>7</v>
      </c>
      <c r="Z6" s="265" t="s">
        <v>76</v>
      </c>
      <c r="AA6" s="108"/>
      <c r="AB6" s="261"/>
      <c r="AC6" s="108"/>
      <c r="AD6" s="108"/>
      <c r="AE6" s="108"/>
      <c r="AF6" s="108"/>
    </row>
    <row r="7" spans="1:32" ht="12.75" customHeight="1">
      <c r="A7" s="263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75"/>
      <c r="P7" s="245"/>
      <c r="Q7" s="245"/>
      <c r="R7" s="245"/>
      <c r="S7" s="245"/>
      <c r="T7" s="245"/>
      <c r="U7" s="269"/>
      <c r="V7" s="269"/>
      <c r="W7" s="269"/>
      <c r="X7" s="245"/>
      <c r="Y7" s="272"/>
      <c r="Z7" s="266"/>
      <c r="AA7" s="261"/>
      <c r="AB7" s="261"/>
      <c r="AC7" s="108"/>
      <c r="AD7" s="108"/>
      <c r="AE7" s="108"/>
      <c r="AF7" s="108"/>
    </row>
    <row r="8" spans="1:32" ht="118.5" customHeight="1">
      <c r="A8" s="264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76"/>
      <c r="P8" s="246"/>
      <c r="Q8" s="246"/>
      <c r="R8" s="246"/>
      <c r="S8" s="246"/>
      <c r="T8" s="246"/>
      <c r="U8" s="270"/>
      <c r="V8" s="270"/>
      <c r="W8" s="270"/>
      <c r="X8" s="246"/>
      <c r="Y8" s="273"/>
      <c r="Z8" s="267"/>
      <c r="AA8" s="261"/>
      <c r="AB8" s="261"/>
      <c r="AC8" s="108"/>
      <c r="AD8" s="108"/>
      <c r="AE8" s="108"/>
      <c r="AF8" s="108"/>
    </row>
    <row r="9" spans="1:32" ht="18.75">
      <c r="A9" s="48">
        <f aca="true" t="shared" si="0" ref="A9:A14">RANK(F9,$F$9:$F$14,1)</f>
        <v>4</v>
      </c>
      <c r="B9" s="185" t="s">
        <v>23</v>
      </c>
      <c r="C9" s="123">
        <v>7777</v>
      </c>
      <c r="D9" s="186">
        <f>ИБР!AC12</f>
        <v>0.9075884434166798</v>
      </c>
      <c r="E9" s="186">
        <f>ИНП!H12</f>
        <v>1.170309706349988</v>
      </c>
      <c r="F9" s="186">
        <f aca="true" t="shared" si="1" ref="F9:F14">E9/D9</f>
        <v>1.2894718028187708</v>
      </c>
      <c r="G9" s="187">
        <f>F9*(ИНП!$G$18)</f>
        <v>5.498606709387254</v>
      </c>
      <c r="H9" s="187">
        <f>2*ИНП!$I$18</f>
        <v>8.52846366607996</v>
      </c>
      <c r="I9" s="188">
        <f>IF((G9-H9)&lt;0,0,'Параметры модели'!$D$28*(G9-H9)*C9*D9)</f>
        <v>0</v>
      </c>
      <c r="J9" s="186">
        <f>F9-I9/(D9*C9*ИНП!$G$18)</f>
        <v>1.2894718028187708</v>
      </c>
      <c r="K9" s="187">
        <f aca="true" t="shared" si="2" ref="K9:K14">G9-I9/(C9*D9)</f>
        <v>5.498606709387254</v>
      </c>
      <c r="L9" s="189"/>
      <c r="M9" s="189"/>
      <c r="N9" s="190">
        <f aca="true" t="shared" si="3" ref="N9:N14">1-1*(I9&gt;0)</f>
        <v>1</v>
      </c>
      <c r="O9" s="195">
        <f>O15*(ИБР!B12/ИБР!B18)</f>
        <v>13262.128333752411</v>
      </c>
      <c r="P9" s="186">
        <f>F9+O9/(C9*D9*ИНП!$G$18)</f>
        <v>1.7300990629889195</v>
      </c>
      <c r="Q9" s="187">
        <f aca="true" t="shared" si="4" ref="Q9:Q14">G9+O9/(C9*D9)</f>
        <v>7.377543498709992</v>
      </c>
      <c r="R9" s="191"/>
      <c r="S9" s="192">
        <f>IF(ИНП!$G$18*('Параметры модели'!$D$42-F9)*C9*D9+I9&lt;0,0,ИНП!$G$18*('Параметры модели'!$D$42-F9)*C9*D9+I9)</f>
        <v>30358.26787497263</v>
      </c>
      <c r="T9" s="190"/>
      <c r="U9" s="196">
        <f aca="true" t="shared" si="5" ref="U9:U14">$T$15*S9</f>
        <v>30358.267874972636</v>
      </c>
      <c r="V9" s="197">
        <f>F9+(O9+U9)/(C9*D9*ИНП!$G$18)</f>
        <v>2.7387365954139895</v>
      </c>
      <c r="W9" s="198">
        <f aca="true" t="shared" si="6" ref="W9:W14">G9+(O9+U9)/(C9*D9)</f>
        <v>11.67860777247587</v>
      </c>
      <c r="X9" s="24"/>
      <c r="Y9" s="111"/>
      <c r="Z9" s="121">
        <f>O9+U9</f>
        <v>43620.39620872505</v>
      </c>
      <c r="AA9" s="109"/>
      <c r="AB9" s="109"/>
      <c r="AC9" s="108"/>
      <c r="AD9" s="108"/>
      <c r="AE9" s="108"/>
      <c r="AF9" s="108"/>
    </row>
    <row r="10" spans="1:32" ht="18.75">
      <c r="A10" s="48">
        <f t="shared" si="0"/>
        <v>1</v>
      </c>
      <c r="B10" s="185" t="s">
        <v>24</v>
      </c>
      <c r="C10" s="123">
        <v>8291</v>
      </c>
      <c r="D10" s="186">
        <f>ИБР!AC13</f>
        <v>0.8871723697969391</v>
      </c>
      <c r="E10" s="186">
        <f>ИНП!H13</f>
        <v>0.5051938411739496</v>
      </c>
      <c r="F10" s="186">
        <f t="shared" si="1"/>
        <v>0.5694427130204485</v>
      </c>
      <c r="G10" s="187">
        <f>F10*(ИНП!$G$18)</f>
        <v>2.428235743954446</v>
      </c>
      <c r="H10" s="187">
        <f>2*ИНП!$I$18</f>
        <v>8.52846366607996</v>
      </c>
      <c r="I10" s="188">
        <f>IF((G10-H10)&lt;0,0,'Параметры модели'!$D$28*(G10-H10)*C10*D10)</f>
        <v>0</v>
      </c>
      <c r="J10" s="186">
        <f>F10-I10/(D10*C10*ИНП!$G$18)</f>
        <v>0.5694427130204485</v>
      </c>
      <c r="K10" s="187">
        <f t="shared" si="2"/>
        <v>2.428235743954446</v>
      </c>
      <c r="L10" s="189"/>
      <c r="M10" s="189"/>
      <c r="N10" s="190">
        <f t="shared" si="3"/>
        <v>1</v>
      </c>
      <c r="O10" s="195">
        <f>O15*(ИБР!B13/ИБР!B18)</f>
        <v>14138.653210124885</v>
      </c>
      <c r="P10" s="186">
        <f>F10+O10/(C10*D10*ИНП!$G$18)</f>
        <v>1.020209917680254</v>
      </c>
      <c r="Q10" s="187">
        <f t="shared" si="4"/>
        <v>4.350411607355237</v>
      </c>
      <c r="R10" s="191"/>
      <c r="S10" s="192">
        <f>IF(ИНП!$G$18*('Параметры модели'!$D$42-F10)*C10*D10+I10&lt;0,0,ИНП!$G$18*('Параметры модели'!$D$42-F10)*C10*D10+I10)</f>
        <v>54220.9318576762</v>
      </c>
      <c r="T10" s="190"/>
      <c r="U10" s="196">
        <f t="shared" si="5"/>
        <v>54220.931857676216</v>
      </c>
      <c r="V10" s="197">
        <f>F10+(O10+U10)/(C10*D10*ИНП!$G$18)</f>
        <v>2.7488765399036468</v>
      </c>
      <c r="W10" s="198">
        <f t="shared" si="6"/>
        <v>11.721846846553923</v>
      </c>
      <c r="X10" s="24"/>
      <c r="Y10" s="111"/>
      <c r="Z10" s="121">
        <f aca="true" t="shared" si="7" ref="Z10:Z15">O10+U10</f>
        <v>68359.5850678011</v>
      </c>
      <c r="AA10" s="109"/>
      <c r="AB10" s="109"/>
      <c r="AC10" s="110"/>
      <c r="AD10" s="108"/>
      <c r="AE10" s="108"/>
      <c r="AF10" s="108"/>
    </row>
    <row r="11" spans="1:32" ht="18.75">
      <c r="A11" s="48">
        <f t="shared" si="0"/>
        <v>2</v>
      </c>
      <c r="B11" s="185" t="s">
        <v>25</v>
      </c>
      <c r="C11" s="123">
        <v>3602</v>
      </c>
      <c r="D11" s="186">
        <f>ИБР!AC14</f>
        <v>1.1407571543336539</v>
      </c>
      <c r="E11" s="186">
        <f>ИНП!H14</f>
        <v>0.6884220776647327</v>
      </c>
      <c r="F11" s="186">
        <f t="shared" si="1"/>
        <v>0.6034782030947315</v>
      </c>
      <c r="G11" s="187">
        <f>F11*(ИНП!$G$18)</f>
        <v>2.5733709641823204</v>
      </c>
      <c r="H11" s="187">
        <f>2*ИНП!$I$18</f>
        <v>8.52846366607996</v>
      </c>
      <c r="I11" s="188">
        <f>IF((G11-H11)&lt;0,0,'Параметры модели'!$D$28*(G11-H11)*C11*D11)</f>
        <v>0</v>
      </c>
      <c r="J11" s="186">
        <f>F11-I11/(D11*C11*ИНП!$G$18)</f>
        <v>0.6034782030947315</v>
      </c>
      <c r="K11" s="187">
        <f t="shared" si="2"/>
        <v>2.5733709641823204</v>
      </c>
      <c r="L11" s="189"/>
      <c r="M11" s="189"/>
      <c r="N11" s="190">
        <f t="shared" si="3"/>
        <v>1</v>
      </c>
      <c r="O11" s="195">
        <f>O15*(ИБР!B14/ИБР!B18)</f>
        <v>6142.495339870924</v>
      </c>
      <c r="P11" s="186">
        <f>F11+O11/(C11*D11*ИНП!$G$18)</f>
        <v>0.9540420436681255</v>
      </c>
      <c r="Q11" s="187">
        <f t="shared" si="4"/>
        <v>4.068256452668139</v>
      </c>
      <c r="R11" s="191"/>
      <c r="S11" s="192">
        <f>IF(ИНП!$G$18*('Параметры модели'!$D$42-F11)*C11*D11+I11&lt;0,0,ИНП!$G$18*('Параметры модели'!$D$42-F11)*C11*D11+I11)</f>
        <v>29692.91931250054</v>
      </c>
      <c r="T11" s="190"/>
      <c r="U11" s="196">
        <f t="shared" si="5"/>
        <v>29692.919312500548</v>
      </c>
      <c r="V11" s="197">
        <f>F11+(O11+U11)/(C11*D11*ИНП!$G$18)</f>
        <v>2.648673175817235</v>
      </c>
      <c r="W11" s="198">
        <f t="shared" si="6"/>
        <v>11.294556471638952</v>
      </c>
      <c r="X11" s="24"/>
      <c r="Y11" s="111"/>
      <c r="Z11" s="121">
        <f t="shared" si="7"/>
        <v>35835.41465237147</v>
      </c>
      <c r="AA11" s="109"/>
      <c r="AB11" s="109"/>
      <c r="AC11" s="108"/>
      <c r="AD11" s="108"/>
      <c r="AE11" s="108"/>
      <c r="AF11" s="108"/>
    </row>
    <row r="12" spans="1:32" ht="18.75">
      <c r="A12" s="48">
        <f t="shared" si="0"/>
        <v>6</v>
      </c>
      <c r="B12" s="185" t="s">
        <v>26</v>
      </c>
      <c r="C12" s="123">
        <v>1347</v>
      </c>
      <c r="D12" s="186">
        <f>ИБР!AC15</f>
        <v>1.218614476960438</v>
      </c>
      <c r="E12" s="186">
        <f>ИНП!H15</f>
        <v>2.646049955687861</v>
      </c>
      <c r="F12" s="186">
        <f t="shared" si="1"/>
        <v>2.171359364027779</v>
      </c>
      <c r="G12" s="187">
        <f>F12*(ИНП!$G$18)</f>
        <v>9.2591797210567</v>
      </c>
      <c r="H12" s="187">
        <f>2*ИНП!$I$18</f>
        <v>8.52846366607996</v>
      </c>
      <c r="I12" s="188">
        <f>IF((G12-H12)&lt;0,0,'Параметры модели'!$D$28*(G12-H12)*C12*D12)</f>
        <v>0</v>
      </c>
      <c r="J12" s="186">
        <f>F12-I12/(D12*C12*ИНП!$G$18)</f>
        <v>2.171359364027779</v>
      </c>
      <c r="K12" s="187">
        <f t="shared" si="2"/>
        <v>9.2591797210567</v>
      </c>
      <c r="L12" s="189"/>
      <c r="M12" s="189"/>
      <c r="N12" s="190">
        <f t="shared" si="3"/>
        <v>1</v>
      </c>
      <c r="O12" s="195">
        <f>O15*(ИБР!B15/ИБР!B18)</f>
        <v>2297.0408725169727</v>
      </c>
      <c r="P12" s="186">
        <f>F12+O12/(C12*D12*ИНП!$G$18)</f>
        <v>2.4995256682573688</v>
      </c>
      <c r="Q12" s="187">
        <f t="shared" si="4"/>
        <v>10.6585569220836</v>
      </c>
      <c r="R12" s="191"/>
      <c r="S12" s="192">
        <f>IF(ИНП!$G$18*('Параметры модели'!$D$42-F12)*C12*D12+I12&lt;0,0,ИНП!$G$18*('Параметры модели'!$D$42-F12)*C12*D12+I12)</f>
        <v>887.2021920628104</v>
      </c>
      <c r="T12" s="190"/>
      <c r="U12" s="196">
        <f t="shared" si="5"/>
        <v>887.2021920628106</v>
      </c>
      <c r="V12" s="197">
        <f>F12+(O12+U12)/(C12*D12*ИНП!$G$18)</f>
        <v>2.6262756394734303</v>
      </c>
      <c r="W12" s="198">
        <f t="shared" si="6"/>
        <v>11.19904818418003</v>
      </c>
      <c r="X12" s="24"/>
      <c r="Y12" s="111"/>
      <c r="Z12" s="121">
        <f t="shared" si="7"/>
        <v>3184.243064579783</v>
      </c>
      <c r="AA12" s="109"/>
      <c r="AB12" s="109"/>
      <c r="AC12" s="108"/>
      <c r="AD12" s="108"/>
      <c r="AE12" s="108"/>
      <c r="AF12" s="108"/>
    </row>
    <row r="13" spans="1:32" ht="19.5" thickBot="1">
      <c r="A13" s="48">
        <f t="shared" si="0"/>
        <v>3</v>
      </c>
      <c r="B13" s="185" t="s">
        <v>27</v>
      </c>
      <c r="C13" s="123">
        <v>1666</v>
      </c>
      <c r="D13" s="186">
        <f>ИБР!AC16</f>
        <v>1.3370088732941046</v>
      </c>
      <c r="E13" s="186">
        <f>ИНП!H16</f>
        <v>1.3503541821296048</v>
      </c>
      <c r="F13" s="186">
        <f t="shared" si="1"/>
        <v>1.0099814661682986</v>
      </c>
      <c r="G13" s="187">
        <f>F13*(ИНП!$G$18)</f>
        <v>4.30679511881525</v>
      </c>
      <c r="H13" s="187">
        <f>2*ИНП!$I$18</f>
        <v>8.52846366607996</v>
      </c>
      <c r="I13" s="188">
        <f>IF((G13-H13)&lt;0,0,'Параметры модели'!$D$28*(G13-H13)*C13*D13)</f>
        <v>0</v>
      </c>
      <c r="J13" s="186">
        <f>F13-I13/(D13*C13*ИНП!$G$18)</f>
        <v>1.0099814661682986</v>
      </c>
      <c r="K13" s="187">
        <f t="shared" si="2"/>
        <v>4.30679511881525</v>
      </c>
      <c r="L13" s="189"/>
      <c r="M13" s="189"/>
      <c r="N13" s="190">
        <f t="shared" si="3"/>
        <v>1</v>
      </c>
      <c r="O13" s="195">
        <f>O15*(ИБР!B16/ИБР!B18)</f>
        <v>2841.0319922889953</v>
      </c>
      <c r="P13" s="186">
        <f>F13+O13/(C13*D13*ИНП!$G$18)</f>
        <v>1.3090880892975028</v>
      </c>
      <c r="Q13" s="187">
        <f t="shared" si="4"/>
        <v>5.582255102635894</v>
      </c>
      <c r="R13" s="193"/>
      <c r="S13" s="192">
        <f>IF(ИНП!$G$18*('Параметры модели'!$D$42-F13)*C13*D13+I13&lt;0,0,ИНП!$G$18*('Параметры модели'!$D$42-F13)*C13*D13+I13)</f>
        <v>12235.143601690937</v>
      </c>
      <c r="T13" s="194"/>
      <c r="U13" s="196">
        <f t="shared" si="5"/>
        <v>12235.14360169094</v>
      </c>
      <c r="V13" s="197">
        <f>F13+(O13+U13)/(C13*D13*ИНП!$G$18)</f>
        <v>2.597215958373045</v>
      </c>
      <c r="W13" s="198">
        <f t="shared" si="6"/>
        <v>11.075130966973777</v>
      </c>
      <c r="X13" s="25"/>
      <c r="Y13" s="112"/>
      <c r="Z13" s="121">
        <f t="shared" si="7"/>
        <v>15076.175593979935</v>
      </c>
      <c r="AA13" s="109"/>
      <c r="AB13" s="109"/>
      <c r="AC13" s="110"/>
      <c r="AD13" s="108"/>
      <c r="AE13" s="108"/>
      <c r="AF13" s="108"/>
    </row>
    <row r="14" spans="1:32" ht="18.75">
      <c r="A14" s="48">
        <f t="shared" si="0"/>
        <v>5</v>
      </c>
      <c r="B14" s="185" t="s">
        <v>28</v>
      </c>
      <c r="C14" s="123">
        <v>1179</v>
      </c>
      <c r="D14" s="186">
        <f>ИБР!AC17</f>
        <v>1.2469896558766287</v>
      </c>
      <c r="E14" s="186">
        <f>ИНП!H17</f>
        <v>1.9324203520399401</v>
      </c>
      <c r="F14" s="186">
        <f t="shared" si="1"/>
        <v>1.5496683095429982</v>
      </c>
      <c r="G14" s="187">
        <f>F14*(ИНП!$G$18)</f>
        <v>6.6081449362065054</v>
      </c>
      <c r="H14" s="187">
        <f>2*ИНП!$I$18</f>
        <v>8.52846366607996</v>
      </c>
      <c r="I14" s="188">
        <f>IF((G14-H14)&lt;0,0,'Параметры модели'!$D$28*(G14-H14)*C14*D14)</f>
        <v>0</v>
      </c>
      <c r="J14" s="186">
        <f>F14-I14/(D14*C14*ИНП!$G$18)</f>
        <v>1.5496683095429982</v>
      </c>
      <c r="K14" s="187">
        <f t="shared" si="2"/>
        <v>6.6081449362065054</v>
      </c>
      <c r="L14" s="189"/>
      <c r="M14" s="189"/>
      <c r="N14" s="190">
        <f t="shared" si="3"/>
        <v>1</v>
      </c>
      <c r="O14" s="195">
        <f>O15*(ИБР!B17/ИБР!B18)</f>
        <v>2010.5502514458135</v>
      </c>
      <c r="P14" s="186">
        <f>F14+O14/(C14*D14*ИНП!$G$18)</f>
        <v>1.8703672081266016</v>
      </c>
      <c r="Q14" s="187">
        <f t="shared" si="4"/>
        <v>7.975679388367568</v>
      </c>
      <c r="R14" s="191"/>
      <c r="S14" s="192">
        <f>IF(ИНП!$G$18*('Параметры модели'!$D$42-F14)*C14*D14+I14&lt;0,0,ИНП!$G$18*('Параметры модели'!$D$42-F14)*C14*D14+I14)</f>
        <v>4692.184161096855</v>
      </c>
      <c r="T14" s="190"/>
      <c r="U14" s="196">
        <f t="shared" si="5"/>
        <v>4692.184161096856</v>
      </c>
      <c r="V14" s="197">
        <f>F14+(O14+U14)/(C14*D14*ИНП!$G$18)</f>
        <v>2.618808233827444</v>
      </c>
      <c r="W14" s="198">
        <f t="shared" si="6"/>
        <v>11.167205435314195</v>
      </c>
      <c r="X14" s="26"/>
      <c r="Y14" s="113"/>
      <c r="Z14" s="121">
        <f t="shared" si="7"/>
        <v>6702.73441254267</v>
      </c>
      <c r="AA14" s="109"/>
      <c r="AB14" s="109"/>
      <c r="AC14" s="108"/>
      <c r="AD14" s="108"/>
      <c r="AE14" s="108"/>
      <c r="AF14" s="108"/>
    </row>
    <row r="15" spans="1:32" ht="16.5" thickBot="1">
      <c r="A15" s="22"/>
      <c r="B15" s="23" t="s">
        <v>31</v>
      </c>
      <c r="C15" s="89">
        <f>ИБР!B18</f>
        <v>23862</v>
      </c>
      <c r="D15" s="90">
        <f>ИБР!AC18</f>
        <v>0</v>
      </c>
      <c r="E15" s="90">
        <f>ИНП!H18</f>
        <v>1</v>
      </c>
      <c r="F15" s="91"/>
      <c r="G15" s="92"/>
      <c r="H15" s="94">
        <f>2*ИНП!$I$18</f>
        <v>8.52846366607996</v>
      </c>
      <c r="I15" s="93">
        <f>SUM(I9:I14)</f>
        <v>0</v>
      </c>
      <c r="J15" s="91"/>
      <c r="K15" s="92"/>
      <c r="L15" s="58">
        <f>'Параметры модели'!$D37</f>
        <v>172778.549</v>
      </c>
      <c r="M15" s="58">
        <f>'Параметры модели'!$D$38</f>
        <v>40691.9</v>
      </c>
      <c r="N15" s="61"/>
      <c r="O15" s="58">
        <f>'Параметры модели'!$D$38</f>
        <v>40691.9</v>
      </c>
      <c r="P15" s="59"/>
      <c r="Q15" s="60"/>
      <c r="R15" s="62">
        <f>'Параметры модели'!$D$39</f>
        <v>132086.649</v>
      </c>
      <c r="S15" s="58">
        <f>SUM(S9:S14)</f>
        <v>132086.64899999998</v>
      </c>
      <c r="T15" s="63">
        <f>$R$15/$S$15</f>
        <v>1.0000000000000002</v>
      </c>
      <c r="U15" s="58">
        <f>SUM(U9:U14)</f>
        <v>132086.649</v>
      </c>
      <c r="V15" s="59"/>
      <c r="W15" s="60"/>
      <c r="X15" s="27"/>
      <c r="Y15" s="114"/>
      <c r="Z15" s="122">
        <f t="shared" si="7"/>
        <v>172778.549</v>
      </c>
      <c r="AA15" s="109"/>
      <c r="AB15" s="108"/>
      <c r="AC15" s="108"/>
      <c r="AD15" s="108"/>
      <c r="AE15" s="108"/>
      <c r="AF15" s="108"/>
    </row>
    <row r="16" spans="3:26" ht="12.75">
      <c r="C16" s="55"/>
      <c r="D16" s="55"/>
      <c r="E16" s="55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</sheetData>
  <sheetProtection/>
  <mergeCells count="28">
    <mergeCell ref="X6:X8"/>
    <mergeCell ref="Y6:Y8"/>
    <mergeCell ref="T6:T8"/>
    <mergeCell ref="M6:M8"/>
    <mergeCell ref="N6:N8"/>
    <mergeCell ref="O6:O8"/>
    <mergeCell ref="P6:P8"/>
    <mergeCell ref="S6:S8"/>
    <mergeCell ref="AA7:AA8"/>
    <mergeCell ref="Z6:Z8"/>
    <mergeCell ref="U6:U8"/>
    <mergeCell ref="V6:V8"/>
    <mergeCell ref="W6:W8"/>
    <mergeCell ref="F6:F8"/>
    <mergeCell ref="G6:G8"/>
    <mergeCell ref="H6:H8"/>
    <mergeCell ref="Q6:Q8"/>
    <mergeCell ref="R6:R8"/>
    <mergeCell ref="AB6:AB8"/>
    <mergeCell ref="A6:A8"/>
    <mergeCell ref="B6:B8"/>
    <mergeCell ref="C6:C8"/>
    <mergeCell ref="D6:D8"/>
    <mergeCell ref="I6:I8"/>
    <mergeCell ref="J6:J8"/>
    <mergeCell ref="K6:K8"/>
    <mergeCell ref="L6:L8"/>
    <mergeCell ref="E6:E8"/>
  </mergeCells>
  <printOptions/>
  <pageMargins left="0.07874015748031496" right="0" top="0.3937007874015748" bottom="0.1968503937007874" header="0.11811023622047245" footer="0.31496062992125984"/>
  <pageSetup fitToWidth="2" horizontalDpi="600" verticalDpi="600" orientation="landscape" paperSize="9" scale="80" r:id="rId1"/>
  <headerFooter alignWithMargins="0">
    <oddHeader>&amp;L&amp;D&amp;T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eliseev</cp:lastModifiedBy>
  <cp:lastPrinted>2016-10-05T05:19:48Z</cp:lastPrinted>
  <dcterms:created xsi:type="dcterms:W3CDTF">2004-06-18T05:29:07Z</dcterms:created>
  <dcterms:modified xsi:type="dcterms:W3CDTF">2016-12-19T05:54:36Z</dcterms:modified>
  <cp:category/>
  <cp:version/>
  <cp:contentType/>
  <cp:contentStatus/>
</cp:coreProperties>
</file>