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3485" windowHeight="10590"/>
  </bookViews>
  <sheets>
    <sheet name="Лист1" sheetId="1" r:id="rId1"/>
    <sheet name="Лист3" sheetId="3" state="hidden" r:id="rId2"/>
  </sheets>
  <definedNames>
    <definedName name="_xlnm._FilterDatabase" localSheetId="0" hidden="1">Лист1!$A$6:$S$36</definedName>
  </definedNames>
  <calcPr calcId="152511"/>
</workbook>
</file>

<file path=xl/calcChain.xml><?xml version="1.0" encoding="utf-8"?>
<calcChain xmlns="http://schemas.openxmlformats.org/spreadsheetml/2006/main">
  <c r="X9" i="1" l="1"/>
  <c r="O36" i="1"/>
  <c r="W28" i="1"/>
  <c r="K28" i="1"/>
  <c r="T23" i="1"/>
  <c r="L21" i="1"/>
  <c r="W20" i="1"/>
  <c r="K20" i="1"/>
  <c r="W10" i="1"/>
  <c r="K10" i="1"/>
  <c r="K9" i="1"/>
  <c r="W9" i="1"/>
  <c r="L9" i="1" l="1"/>
  <c r="K24" i="1"/>
  <c r="O20" i="1"/>
  <c r="S17" i="1" l="1"/>
  <c r="R17" i="1"/>
  <c r="O17" i="1"/>
  <c r="N17" i="1"/>
  <c r="P17" i="1"/>
  <c r="X16" i="1" l="1"/>
  <c r="L17" i="1"/>
  <c r="V10" i="1" l="1"/>
  <c r="W13" i="1" l="1"/>
  <c r="O13" i="1"/>
  <c r="N13" i="1"/>
  <c r="L22" i="1"/>
  <c r="L20" i="1" l="1"/>
  <c r="L12" i="1"/>
  <c r="L13" i="1" s="1"/>
  <c r="K13" i="1" l="1"/>
  <c r="H12" i="1" l="1"/>
  <c r="L24" i="1" l="1"/>
  <c r="T22" i="1"/>
  <c r="T21" i="1"/>
  <c r="T34" i="1" l="1"/>
  <c r="T25" i="1"/>
  <c r="V29" i="1"/>
  <c r="T24" i="1" l="1"/>
  <c r="W26" i="1"/>
  <c r="T28" i="1" l="1"/>
  <c r="T29" i="1" s="1"/>
  <c r="W29" i="1"/>
  <c r="T11" i="1" l="1"/>
  <c r="H11" i="1" l="1"/>
  <c r="X11" i="1" s="1"/>
  <c r="V26" i="1" l="1"/>
  <c r="W35" i="1" l="1"/>
  <c r="W36" i="1" s="1"/>
  <c r="T35" i="1"/>
  <c r="K35" i="1"/>
  <c r="J35" i="1"/>
  <c r="H34" i="1" l="1"/>
  <c r="X34" i="1" l="1"/>
  <c r="H35" i="1"/>
  <c r="X35" i="1" s="1"/>
  <c r="K26" i="1"/>
  <c r="J26" i="1"/>
  <c r="H25" i="1"/>
  <c r="X25" i="1" s="1"/>
  <c r="T20" i="1"/>
  <c r="T26" i="1" s="1"/>
  <c r="V13" i="1"/>
  <c r="V36" i="1" s="1"/>
  <c r="T10" i="1"/>
  <c r="T9" i="1"/>
  <c r="T13" i="1" l="1"/>
  <c r="T36" i="1" s="1"/>
  <c r="H20" i="1"/>
  <c r="X20" i="1" s="1"/>
  <c r="H10" i="1"/>
  <c r="X10" i="1" l="1"/>
  <c r="S26" i="1"/>
  <c r="S36" i="1" s="1"/>
  <c r="R26" i="1"/>
  <c r="R36" i="1" s="1"/>
  <c r="O26" i="1"/>
  <c r="N26" i="1"/>
  <c r="N36" i="1" s="1"/>
  <c r="H24" i="1"/>
  <c r="X24" i="1" s="1"/>
  <c r="H26" i="1" l="1"/>
  <c r="X26" i="1" s="1"/>
  <c r="L23" i="1"/>
  <c r="P23" i="1" l="1"/>
  <c r="P22" i="1" l="1"/>
  <c r="P21" i="1"/>
  <c r="P26" i="1" l="1"/>
  <c r="P36" i="1" s="1"/>
  <c r="L26" i="1"/>
  <c r="L36" i="1" s="1"/>
  <c r="K29" i="1" l="1"/>
  <c r="K36" i="1" s="1"/>
  <c r="J29" i="1"/>
  <c r="K32" i="1"/>
  <c r="H31" i="1"/>
  <c r="H32" i="1" l="1"/>
  <c r="X31" i="1"/>
  <c r="X32" i="1" s="1"/>
  <c r="J13" i="1"/>
  <c r="J36" i="1" s="1"/>
  <c r="H9" i="1" l="1"/>
  <c r="H13" i="1" s="1"/>
  <c r="X13" i="1" l="1"/>
  <c r="H28" i="1"/>
  <c r="X28" i="1" s="1"/>
  <c r="H29" i="1" l="1"/>
  <c r="H36" i="1" s="1"/>
  <c r="X36" i="1" l="1"/>
  <c r="X29" i="1"/>
</calcChain>
</file>

<file path=xl/sharedStrings.xml><?xml version="1.0" encoding="utf-8"?>
<sst xmlns="http://schemas.openxmlformats.org/spreadsheetml/2006/main" count="111" uniqueCount="89">
  <si>
    <t>№ п/п</t>
  </si>
  <si>
    <t>Наименование строек и объектов</t>
  </si>
  <si>
    <t>Сроки инвестирования (проектирование, строительство, реконструкция, приобретение)</t>
  </si>
  <si>
    <t>начало</t>
  </si>
  <si>
    <t>завершение</t>
  </si>
  <si>
    <t>Показатель мощности</t>
  </si>
  <si>
    <t>Единицы измерения мощности</t>
  </si>
  <si>
    <t>Стоимость (сметная стоимость по заключению о проверке достоверности сметной стоимости для объектов строительства и реконструкции) (тыс.руб.)</t>
  </si>
  <si>
    <t>Всего</t>
  </si>
  <si>
    <t>Окружной бюджет</t>
  </si>
  <si>
    <t>Бюджет района</t>
  </si>
  <si>
    <t>Итого по программе:</t>
  </si>
  <si>
    <t>1.</t>
  </si>
  <si>
    <t>1.1.</t>
  </si>
  <si>
    <t>1.2.</t>
  </si>
  <si>
    <t>Сметная стоимость не определена</t>
  </si>
  <si>
    <t>ВСЕГО:</t>
  </si>
  <si>
    <t>Муниципальная программа "Развитие образования в Березовском районе"</t>
  </si>
  <si>
    <t>Средняя школа, пгт. Березово</t>
  </si>
  <si>
    <t>Подпрограмма "Обеспечение равных прав потребителей на получение коммунальных ресурсов"</t>
  </si>
  <si>
    <t>Муниципальная программа "Жилищно-коммунальны комплекс в Березовском районе"</t>
  </si>
  <si>
    <t>2.</t>
  </si>
  <si>
    <t>3.1.</t>
  </si>
  <si>
    <t>4.1.</t>
  </si>
  <si>
    <t>Образовательно-культурный комплекс в д. Хулимсунт, Березовского района</t>
  </si>
  <si>
    <t>учащ./мест</t>
  </si>
  <si>
    <t>Капитальные вложения на 2025 год</t>
  </si>
  <si>
    <t>Реконструкция и расширение канализационных сооружений на 2000 куб. м./сут в пгт. Березово</t>
  </si>
  <si>
    <t>куб.м/сут.</t>
  </si>
  <si>
    <t>Спортивный зал имени Руслана Проводникова в пгт. Березово</t>
  </si>
  <si>
    <t>Муниципальная программа "Развитие физической культуры, спорта и молодежной политики в Березовском районе"</t>
  </si>
  <si>
    <t>5.1.</t>
  </si>
  <si>
    <t>Капитальные вложения на 2026 год</t>
  </si>
  <si>
    <t>куб.м/сут</t>
  </si>
  <si>
    <t>2.1.</t>
  </si>
  <si>
    <t>Федеральный бюджет</t>
  </si>
  <si>
    <t xml:space="preserve">Строительство водоочистных сооружений в п. Светлый </t>
  </si>
  <si>
    <t>Водоочистные сооружения в пгт. Березово</t>
  </si>
  <si>
    <t>куб.м./сут</t>
  </si>
  <si>
    <t>Муниципальная программа "Безопасность жизнедеятельности на территории Березовского района"</t>
  </si>
  <si>
    <t>Пожарные водоемы в п. Устрем, д. Деминская, д. Шайтанка, д. Пугоры Березовского района (ПИР)</t>
  </si>
  <si>
    <t>м3</t>
  </si>
  <si>
    <t>Капитальные вложения на 2027 год</t>
  </si>
  <si>
    <t>Водоочистные сооружения в с. Няксимволь</t>
  </si>
  <si>
    <t>МВт</t>
  </si>
  <si>
    <t>Профинасировано в текущем году (кассовые расходы) за счет</t>
  </si>
  <si>
    <t>Строительство канализационных очистных сооружений в с. Саранпауль (ПИР)</t>
  </si>
  <si>
    <t xml:space="preserve">Муниципальная программа "Современная транспортная система Березовского района" </t>
  </si>
  <si>
    <t>км.</t>
  </si>
  <si>
    <t>Заключены контракты: 15/24 от 05.08.2024 на выполнение проектных работ  и инженерных изысканий  по объектам: «Пожарный водоем в п. Устрем Березовского района», 16/24 от 05.08.2024 по объекту: «Пожарный водоем в д. Деминская Березовского района»,17/24 от 06.08.2024 по объекту: «Пожарный водоем в д. Шайтанка Березовского района»,18/24 от 06.08.2024 по объекту: «Пожарный водоем в д. Пугоры Березовского района». Сроки исполнения работ  -17.11.2024  Работы выполнены в полном объеме.</t>
  </si>
  <si>
    <t xml:space="preserve">Блочно-модульная котельная на 7,8 МВт в пгт. Березово, ул. Молодежная, 1 </t>
  </si>
  <si>
    <t>Информация о строящихся объектах</t>
  </si>
  <si>
    <t>1.3.</t>
  </si>
  <si>
    <t>Детский сад в пгт. Игрим</t>
  </si>
  <si>
    <t>мест</t>
  </si>
  <si>
    <t xml:space="preserve">700/19610 </t>
  </si>
  <si>
    <t>учащ./кв. м.</t>
  </si>
  <si>
    <t>987 147,4 цены 1 кв 2025</t>
  </si>
  <si>
    <t>140/75</t>
  </si>
  <si>
    <t>Реконструкция автодороги по ул. Чкалова в  пгт. Березово</t>
  </si>
  <si>
    <t>1.4.</t>
  </si>
  <si>
    <t>чел./мин</t>
  </si>
  <si>
    <t>Строительство образовательного центра «Номтынг Манквла» на территории сп. Саранпауль (ПИР)</t>
  </si>
  <si>
    <t xml:space="preserve">10.06.2022 заключен муниципальный контракт № 14/22 на проектно-изыскательские работы по объекту: "Реконструкция автодороги по ул. Чкалова с заменой участка газопровода низкого давления в  пгт. Березово". В 2024 году приняты и оплачены работы по историко-культурной экспертизе земельного участка. 07.03.2025 заключен договор на проведение государственной экспертизы проектной документации и результатов инженерных изысканий, включая проведение проверки достоверности определения сметной стоимости. 06.06.2025 получено отрицательное заключение  экспертизы проектной документации: Техническая часть проектной документации по объекту не соответствует результатам инженерных изысканий, техническому заданию заказчика на проектирование и требованиям технических регламентов. Сметная стоимость определена не достоверно, муниципальный контракт расторгнут в одностороннем порядке с проектной организацией ООО "Артпроектэксперт", г.Чебоксары. 
22.07.2025 объявлена закупка на проведение ремонтных работ, 19.08.2025 заключен муниципальный контракт № 0187300012425000168 на выполнение работ по ремонту автомобильной дороги по ул. Чкалова в пгт. Березово. На 07.11.2025 работы по муниципальному контракту завершены, проведена укладка бетонных плит, устройство тротуарного объекта и системы водоотведения.
</t>
  </si>
  <si>
    <t>Муниципальная программа "Развитие жилищной сферы в Березовском районе"</t>
  </si>
  <si>
    <t>Подпрограмма "Содействие развитию жилищного строительства"</t>
  </si>
  <si>
    <t>Приобретение жилых помещений, выплата возмещения за изымаемую недвижимость</t>
  </si>
  <si>
    <t>кв.м./м</t>
  </si>
  <si>
    <t xml:space="preserve"> на 2025 год и плановый период 2026-2027 годы (к решению Думы от 26.12.2025 № 571)</t>
  </si>
  <si>
    <r>
      <t xml:space="preserve">% исполнения </t>
    </r>
    <r>
      <rPr>
        <i/>
        <sz val="10"/>
        <color theme="1"/>
        <rFont val="Times New Roman"/>
        <family val="1"/>
        <charset val="204"/>
      </rPr>
      <t>(по состоянию на 26.12.2025 г.)</t>
    </r>
  </si>
  <si>
    <r>
      <t xml:space="preserve">Информация о проведении торгов, заключении контракта, соблюдении условий контракта подрядной организацией, причины низкого исполнения </t>
    </r>
    <r>
      <rPr>
        <b/>
        <i/>
        <sz val="10"/>
        <color theme="1"/>
        <rFont val="Times New Roman"/>
        <family val="1"/>
        <charset val="204"/>
      </rPr>
      <t>(по состоннию на 26.12.2025 г.)</t>
    </r>
  </si>
  <si>
    <t>2.2.</t>
  </si>
  <si>
    <t>2.3.</t>
  </si>
  <si>
    <t>2.4.</t>
  </si>
  <si>
    <t>2.5.</t>
  </si>
  <si>
    <t>2.6.</t>
  </si>
  <si>
    <t>4.</t>
  </si>
  <si>
    <t xml:space="preserve">Объект закончен строительством и введен в эксплуатацию: 1 этап - 22.07.2025 г., 2 этап - 28.08.2025 г. </t>
  </si>
  <si>
    <t>В 2024 году были приняты и оплачены кадастровые работы по подготовке межевого плана в сумме 25,0 тыс.руб. по договору № 5/24 от 14.03.2024 года с ООО "АльянсГеоСевер".
20.08.2025 года получено заключение проверки инвестиционного проекта на предмет эффективности. Стоимость строительства с учетом периода реализации - 151 200,6 тыс.руб.
Задание на проектирование подготовлено, направлено в технический совет для рассмотрения и утверждения. Срок утверждения - до 10.10.2025 года. Согласно произведенного расчета стоимости объекта стоимость составила 151 200,6 тыс. руб. 22.10.2025 состоялся технический совет на котором принято решение об уменьшении мощности объекта с 500 до 360 м³ в сутки. Необходимо внести изменения в государственную программу "Строительство". В целях внесения изменений готовится документация в соответствии с постановлением Правительства Ханты-Мансийского автономного округа от 02.04.2011 № 93-п до 10.12.2025. Параллельно готовится задание на проектирование объекта, срок подготовки продлен до конца 2025 года.</t>
  </si>
  <si>
    <t>Выполнены и оплачены кадастровые работы по подготовке межевого плана объета,договор № 4/24 от 14.03.2025 года ,ООО "АльянсГеоСевер". Получены технические условия для подключения объекта к инженерным сетям, выдан ГПЗУ, оформлен договор безвозмездного пользования земельного участка. 15.11.2024 получено положительное заключение Депэкономики Югры о проверке инвестиционного проекта на предмет эффективности использования средств, стоимость строительства в ценах 1 квартала 2024 г. составляет 541 017,2 тыс. руб. Задание на проектирование утверждено техническим советом по вопросам жилищно-коммунального комплекса. На сайте гос.экспертизы ведется подготовка машиночитаемого задания на проектирование в соответствии с Приказом Минстроя и ЖКХ от 12.05.2017 № 783/Пр. 23.09.2025 состоялся технический совет, на котором принято решение об уменьшении мощности объекта с 2000 до 1000 м³ в сутки и изменении наименования объекта на "Реконструкция водозабора и водоочистных сооружений пгт. Берёзово". Необходимо внести изменения в государственную программу «Строительство». 24.10.2025 документация в соответствии с Постановлением Правительства ХМАО-Югры от 02.04.2011 № 93-п направлена в Департамент ЖКХ ХМАО-Югры. Параллельно готовится задание на проектирование объекта .</t>
  </si>
  <si>
    <t>В соответствии с заключением Департамента экономического развития ХМАО-Югры о проверке инвестиционного проекта на предмет эффективности использования средств бюджета ХМАО-Югры, направляемых на капитальные вложения стоимость строительства в ценах 1 квартала 2025 г. составляет 59 238,6 тыс. руб. Задание на проектирование подготовлено, направлено для согласования и утверждения в технический совет по вопросам жилищно-коммунального комплекса. Срок утверждения - 10.02.2026 года.</t>
  </si>
  <si>
    <t>Задание на проектирование объекта согласовано и утверждено 18.10.2024. Заключен муниципальный контракт № 28/24 от 16.12.2024 г. с ООО "Корсэль", г.Пермь  на выполнение проектно-изыскательских и строительно-монтажных работ, со сроком исполнения 01.10.2025 г. Вышли с экспертизы по  проектной документации и инженерных изысканий с положительным заключением - 31.05.2025,  достоверности сметной стоимости - 22.08.2025 года.  Планируемый срок ввода - июнь 2026 года. 04.06.2025 года получено разрешение на строительство объекта. Завершается монтаж оборудования на котельной. Оставшийся необходимый материал  доставлен 20.12.2025 года. Объект в полном объеме оснащен наружными и внутренними сетями газопотребления.</t>
  </si>
  <si>
    <t>10.07.2023  заключен муниципальный контракт № 35-23  на выполнение проектно-изыскательских работ по объекту "Строительство канализационных очистных сооружений в с. Саранпауль", 01.07.2025 года было получено положительное заключение экспертизы проверки достоверности определения сметной стоимости. Техническим советом было рекомендовано пересмотреть мощностные характеристики проекта с учетом фактической потребности,предоставить (при наличии) план по строительству линейных объектров централизованной канализации в с.Саранпауль.</t>
  </si>
  <si>
    <t>02.07.2024 года заключен муниципальный контракт с ООО «Спецстрой», г. Москва на выполнение проектно-изыскательских и строительно-монтажных работ. Цена контракта- 391 971,5  тыс. руб. (ПИР-3518,5 тыс. руб., СМР-388 453,1 тыс.руб. дополнительное соглашение № 4 от 25.06.2025). Сроки ПИР - 17.11.2024, СМР - 17.11.2025. 28.03.2025 получено положительное заключение государственной экспертизы в части проверки достоверности определения сметной стоимости № 86-1-1-2-016931-2025 от АУ ХМАО-Югры "Управление госудасртвенной экспертизы проектной документации и ценообразования в строительстве", сумма по заключению 406 660,77 тыс.руб. 02.04.2025 получено разрешение на строительство объекта.  Общая строительная готовность объекта - 100%. 23.12.2025 года получено разрешение на ввод объекта в эксплуатацию.</t>
  </si>
  <si>
    <t xml:space="preserve">17.11.2020 г. заключен муниципальный контракт № 57/20 на выполнение проектно-изыскательских и строительно-монтажных работ по объекту с подрядной организацией ООО  ГК "Альянс". Цена контракта 1 885 594,2 тыс.руб. Срок исполнения с учетом продления (доп.соглашение № 11 от 30.09.2025) - 25.12.2025 г. Выплачен аванс в сумме 740 179 ,6  тыс.руб. (доп.соглашение № 10 от 28.04.2025). Получены заключения государственной экспертизы № 86-1-1-1-3-086256-2021 от 30.12.2021, достоверности № 86-1-1-2-083857 от 30.11.2022. Окончена корректировка технической части проектно-сметной документации, получены заключения экспертизы в рамках экспертного сопровождения № 0057-2024 от 05.09.2024 г., № 0009-2025 от 25.02.2025 г. 
Работы ведутся со значительным отставанием от графика производства работ. Ведется работа по продлению контракта до 1 сентября 2026 года. Планируемый срок ввода объекта - сентябрь 2026 года. Выполнены технологические присоединения: водоотведение, водоснабжение, теплоснабжение. Завершается монтаж каркаса здания, выполнено 99% , ведутся кровельные работы, кладка внутренних стен, устройство вентиляции и монтаж витражей. Планировка территории выполнена на 50%. Остальные виды работ остановлены. Риски: подрядчик зашел в зиму без существенного завоза строительных материалов согласно потребностей общей нормативной базы. Выполнение строительно-монтажных работ практически остановлено. Рабочих не хватает.
</t>
  </si>
  <si>
    <t xml:space="preserve">Получено положительное заключение о проверке достоверности сметной стоимости № 86-1-1-2-041489-2022 от 26.06.2022. 
15.08.2022 года объявлен аукцион № 0187200001722000750 на строительство объекта,  закупка признана несостоявшейся, так как не подано ни одной заявки на участие. 
После проведения анализа стоимости строительства был установлен показатель стоимости 1 кв. м. не соответствующий действительному на текущий момент. В целях приведения сметной стоимости строительства объекта к  достоверному показателю необходимо доработать сметную документацию, проведен аукцион на корректировку проектно-сметной документации.
04.03.2025 года получено положительное заключение экспертизы. Направлено письмо о проработке возможности  строительства в УКС Югры и поиска объекта – аналога.
</t>
  </si>
  <si>
    <t>Контракт на проектно-изыскательсике работы заключен 14.11.2025 года. Сроки исполения работ 13.04.2026</t>
  </si>
  <si>
    <t xml:space="preserve">В рамках экспертного сопровождения внесены все корректировки в проектную документацию, заключение экспертизы получено 31.03. 2025 года. 
Заключен муниципальный контракт № 38/23 от 08.09.2023 г. с ООО "Корсэль", цена контракта 622 212,8 тыс. руб. (дополнительное соглашение № 6 от 23.04.2025). В 2023 году был выплачен аванс в размере 265 423,1 тыс.руб.(дополнительное соглашение № 2 от 24.11.2024), в апреле был доплачен аванс до 50% от цены контракта (доп.соглашение № 6 от 23.04.2025).
Заключение государственной экспертизы по проектной документации от  03.12.2021 г. № 86-1-1-3-073540-2021, по достоверности – от 12.10.2022 г. № 86-1-1-2-072133-2022. Дата получения разрешения на строительство – 11.05.2023 г. Срок МК с учетом дополнительного соглашения № 5 от 18.11.2024 продлен до 21.06.2025 года. Работы ведутся с отставанием от графика работ. Планируемый срок завершения работ и ввод в эксплуатацию - май 2026 года. </t>
  </si>
  <si>
    <t>посещений в смену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</si>
</sst>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.5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b/>
      <sz val="10.5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0"/>
      <color theme="1"/>
      <name val="Times New Roman"/>
      <family val="1"/>
      <charset val="204"/>
    </font>
    <font>
      <b/>
      <sz val="10.5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14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/>
    <xf numFmtId="16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2" borderId="0" xfId="0" applyFont="1" applyFill="1"/>
    <xf numFmtId="165" fontId="1" fillId="2" borderId="0" xfId="0" applyNumberFormat="1" applyFont="1" applyFill="1" applyAlignment="1">
      <alignment horizontal="center" vertical="center" wrapText="1"/>
    </xf>
    <xf numFmtId="165" fontId="1" fillId="2" borderId="0" xfId="0" applyNumberFormat="1" applyFont="1" applyFill="1"/>
    <xf numFmtId="0" fontId="1" fillId="2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165" fontId="5" fillId="0" borderId="1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8" fillId="0" borderId="1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1" fillId="3" borderId="0" xfId="0" applyFont="1" applyFill="1"/>
    <xf numFmtId="165" fontId="1" fillId="0" borderId="0" xfId="0" applyNumberFormat="1" applyFont="1" applyFill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17" fontId="6" fillId="0" borderId="0" xfId="0" applyNumberFormat="1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horizontal="center" vertical="center" wrapText="1"/>
    </xf>
    <xf numFmtId="165" fontId="7" fillId="0" borderId="0" xfId="0" applyNumberFormat="1" applyFont="1" applyFill="1" applyAlignment="1">
      <alignment horizontal="center" vertical="center" wrapText="1"/>
    </xf>
    <xf numFmtId="165" fontId="4" fillId="0" borderId="10" xfId="0" applyNumberFormat="1" applyFont="1" applyFill="1" applyBorder="1" applyAlignment="1">
      <alignment horizontal="center" vertical="center" wrapText="1"/>
    </xf>
    <xf numFmtId="164" fontId="8" fillId="0" borderId="10" xfId="0" applyNumberFormat="1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6" fillId="4" borderId="0" xfId="0" applyFont="1" applyFill="1"/>
    <xf numFmtId="0" fontId="8" fillId="0" borderId="4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164" fontId="6" fillId="0" borderId="10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/>
    </xf>
    <xf numFmtId="16" fontId="6" fillId="0" borderId="4" xfId="0" applyNumberFormat="1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164" fontId="6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1" xfId="0" applyFont="1" applyFill="1" applyBorder="1"/>
    <xf numFmtId="164" fontId="6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164" fontId="7" fillId="0" borderId="10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vertical="center" wrapText="1"/>
    </xf>
    <xf numFmtId="164" fontId="6" fillId="0" borderId="3" xfId="0" applyNumberFormat="1" applyFont="1" applyFill="1" applyBorder="1" applyAlignment="1"/>
    <xf numFmtId="165" fontId="6" fillId="0" borderId="3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4" fontId="6" fillId="0" borderId="6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vertical="center" wrapText="1"/>
    </xf>
    <xf numFmtId="0" fontId="6" fillId="0" borderId="3" xfId="0" applyFont="1" applyFill="1" applyBorder="1" applyAlignment="1"/>
    <xf numFmtId="4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top" wrapText="1"/>
    </xf>
    <xf numFmtId="165" fontId="5" fillId="0" borderId="3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/>
    </xf>
    <xf numFmtId="4" fontId="7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164" fontId="19" fillId="0" borderId="7" xfId="0" applyNumberFormat="1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165" fontId="5" fillId="0" borderId="7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top" wrapText="1"/>
    </xf>
    <xf numFmtId="2" fontId="6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Fill="1"/>
    <xf numFmtId="0" fontId="3" fillId="0" borderId="3" xfId="0" applyFont="1" applyFill="1" applyBorder="1" applyAlignment="1">
      <alignment horizontal="center" vertical="center" wrapText="1"/>
    </xf>
    <xf numFmtId="0" fontId="17" fillId="0" borderId="4" xfId="0" applyFont="1" applyBorder="1" applyAlignment="1"/>
    <xf numFmtId="0" fontId="5" fillId="0" borderId="10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0" fontId="14" fillId="0" borderId="5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wrapText="1"/>
    </xf>
    <xf numFmtId="0" fontId="12" fillId="0" borderId="5" xfId="0" applyFont="1" applyFill="1" applyBorder="1" applyAlignment="1">
      <alignment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/>
    </xf>
    <xf numFmtId="0" fontId="13" fillId="0" borderId="5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0"/>
  <sheetViews>
    <sheetView tabSelected="1" view="pageBreakPreview" zoomScale="80" zoomScaleSheetLayoutView="80" workbookViewId="0">
      <pane xSplit="7" ySplit="7" topLeftCell="H8" activePane="bottomRight" state="frozen"/>
      <selection pane="topRight" activeCell="I1" sqref="I1"/>
      <selection pane="bottomLeft" activeCell="A8" sqref="A8"/>
      <selection pane="bottomRight" activeCell="G34" sqref="G34"/>
    </sheetView>
  </sheetViews>
  <sheetFormatPr defaultColWidth="8.7109375" defaultRowHeight="15" x14ac:dyDescent="0.25"/>
  <cols>
    <col min="1" max="1" width="6.5703125" style="13" customWidth="1"/>
    <col min="2" max="2" width="18.42578125" style="3" customWidth="1"/>
    <col min="3" max="3" width="8.5703125" style="3" customWidth="1"/>
    <col min="4" max="4" width="10.85546875" style="3" customWidth="1"/>
    <col min="5" max="5" width="11" style="3" customWidth="1"/>
    <col min="6" max="6" width="9.85546875" style="3" customWidth="1"/>
    <col min="7" max="7" width="17.85546875" style="3" customWidth="1"/>
    <col min="8" max="8" width="11.5703125" style="3" customWidth="1"/>
    <col min="9" max="9" width="12.42578125" style="3" customWidth="1"/>
    <col min="10" max="10" width="11.85546875" style="3" customWidth="1"/>
    <col min="11" max="11" width="12.28515625" style="3" customWidth="1"/>
    <col min="12" max="12" width="12" style="33" customWidth="1"/>
    <col min="13" max="13" width="10.85546875" style="33" customWidth="1"/>
    <col min="14" max="14" width="12.140625" style="33" customWidth="1"/>
    <col min="15" max="15" width="9.85546875" style="33" customWidth="1"/>
    <col min="16" max="17" width="12.140625" style="3" customWidth="1"/>
    <col min="18" max="18" width="10" style="3" customWidth="1"/>
    <col min="19" max="19" width="10.85546875" style="15" customWidth="1"/>
    <col min="20" max="20" width="13" style="3" customWidth="1"/>
    <col min="21" max="21" width="12.5703125" style="3" customWidth="1"/>
    <col min="22" max="22" width="11.140625" style="3" customWidth="1"/>
    <col min="23" max="23" width="10.5703125" style="3" customWidth="1"/>
    <col min="24" max="24" width="14.42578125" style="3" customWidth="1"/>
    <col min="25" max="25" width="92.28515625" style="3" customWidth="1"/>
    <col min="26" max="16384" width="8.7109375" style="3"/>
  </cols>
  <sheetData>
    <row r="1" spans="1:28" ht="20.45" customHeight="1" x14ac:dyDescent="0.25">
      <c r="A1" s="11"/>
      <c r="B1" s="1"/>
      <c r="C1" s="1"/>
      <c r="D1" s="1"/>
      <c r="E1" s="1"/>
      <c r="F1" s="1"/>
      <c r="G1" s="1"/>
      <c r="H1" s="2"/>
      <c r="I1" s="20"/>
      <c r="J1" s="2"/>
      <c r="K1" s="2"/>
      <c r="L1" s="120"/>
      <c r="M1" s="120"/>
      <c r="N1" s="120"/>
      <c r="O1" s="120"/>
      <c r="P1" s="120"/>
      <c r="Q1" s="120"/>
      <c r="R1" s="120"/>
      <c r="S1" s="120"/>
    </row>
    <row r="2" spans="1:28" x14ac:dyDescent="0.25">
      <c r="A2" s="11"/>
      <c r="B2" s="1"/>
      <c r="C2" s="1"/>
      <c r="D2" s="1"/>
      <c r="E2" s="1"/>
      <c r="F2" s="1"/>
      <c r="G2" s="1"/>
      <c r="H2" s="1"/>
      <c r="I2" s="1"/>
      <c r="J2" s="1"/>
      <c r="K2" s="1"/>
      <c r="L2" s="120"/>
      <c r="M2" s="120"/>
      <c r="N2" s="120"/>
      <c r="O2" s="120"/>
      <c r="P2" s="120"/>
      <c r="Q2" s="120"/>
      <c r="R2" s="120"/>
      <c r="S2" s="120"/>
    </row>
    <row r="3" spans="1:28" x14ac:dyDescent="0.25">
      <c r="A3" s="121" t="s">
        <v>51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30"/>
      <c r="N3" s="5"/>
      <c r="O3" s="5"/>
      <c r="P3" s="5"/>
      <c r="Q3" s="5"/>
      <c r="R3" s="5"/>
      <c r="S3" s="34"/>
    </row>
    <row r="4" spans="1:28" x14ac:dyDescent="0.25">
      <c r="A4" s="121" t="s">
        <v>68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30"/>
      <c r="N4" s="5"/>
      <c r="O4" s="5"/>
      <c r="P4" s="5"/>
      <c r="Q4" s="5"/>
      <c r="R4" s="5"/>
      <c r="S4" s="34"/>
    </row>
    <row r="5" spans="1:28" ht="9.75" customHeight="1" x14ac:dyDescent="0.25">
      <c r="A5" s="12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34"/>
    </row>
    <row r="6" spans="1:28" ht="86.25" customHeight="1" x14ac:dyDescent="0.25">
      <c r="A6" s="127" t="s">
        <v>0</v>
      </c>
      <c r="B6" s="128" t="s">
        <v>1</v>
      </c>
      <c r="C6" s="122" t="s">
        <v>2</v>
      </c>
      <c r="D6" s="122"/>
      <c r="E6" s="122" t="s">
        <v>5</v>
      </c>
      <c r="F6" s="122" t="s">
        <v>6</v>
      </c>
      <c r="G6" s="122" t="s">
        <v>7</v>
      </c>
      <c r="H6" s="123" t="s">
        <v>26</v>
      </c>
      <c r="I6" s="124"/>
      <c r="J6" s="124"/>
      <c r="K6" s="125"/>
      <c r="L6" s="126" t="s">
        <v>32</v>
      </c>
      <c r="M6" s="126"/>
      <c r="N6" s="126"/>
      <c r="O6" s="126"/>
      <c r="P6" s="126" t="s">
        <v>42</v>
      </c>
      <c r="Q6" s="126"/>
      <c r="R6" s="126"/>
      <c r="S6" s="123"/>
      <c r="T6" s="134" t="s">
        <v>45</v>
      </c>
      <c r="U6" s="135"/>
      <c r="V6" s="135"/>
      <c r="W6" s="136"/>
      <c r="X6" s="115" t="s">
        <v>69</v>
      </c>
      <c r="Y6" s="94" t="s">
        <v>70</v>
      </c>
    </row>
    <row r="7" spans="1:28" ht="73.5" customHeight="1" x14ac:dyDescent="0.25">
      <c r="A7" s="127"/>
      <c r="B7" s="128"/>
      <c r="C7" s="29" t="s">
        <v>3</v>
      </c>
      <c r="D7" s="29" t="s">
        <v>4</v>
      </c>
      <c r="E7" s="122"/>
      <c r="F7" s="122"/>
      <c r="G7" s="122"/>
      <c r="H7" s="31" t="s">
        <v>8</v>
      </c>
      <c r="I7" s="29" t="s">
        <v>35</v>
      </c>
      <c r="J7" s="29" t="s">
        <v>9</v>
      </c>
      <c r="K7" s="29" t="s">
        <v>10</v>
      </c>
      <c r="L7" s="31" t="s">
        <v>8</v>
      </c>
      <c r="M7" s="29" t="s">
        <v>35</v>
      </c>
      <c r="N7" s="29" t="s">
        <v>9</v>
      </c>
      <c r="O7" s="29" t="s">
        <v>10</v>
      </c>
      <c r="P7" s="31" t="s">
        <v>8</v>
      </c>
      <c r="Q7" s="29" t="s">
        <v>35</v>
      </c>
      <c r="R7" s="29" t="s">
        <v>9</v>
      </c>
      <c r="S7" s="42" t="s">
        <v>10</v>
      </c>
      <c r="T7" s="92" t="s">
        <v>8</v>
      </c>
      <c r="U7" s="93" t="s">
        <v>35</v>
      </c>
      <c r="V7" s="93" t="s">
        <v>9</v>
      </c>
      <c r="W7" s="93" t="s">
        <v>10</v>
      </c>
      <c r="X7" s="116"/>
      <c r="Y7" s="16"/>
      <c r="Z7" s="22"/>
      <c r="AA7" s="22"/>
      <c r="AB7" s="22"/>
    </row>
    <row r="8" spans="1:28" s="65" customFormat="1" ht="15" customHeight="1" x14ac:dyDescent="0.2">
      <c r="A8" s="35" t="s">
        <v>12</v>
      </c>
      <c r="B8" s="139" t="s">
        <v>17</v>
      </c>
      <c r="C8" s="140"/>
      <c r="D8" s="140"/>
      <c r="E8" s="140"/>
      <c r="F8" s="140"/>
      <c r="G8" s="140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29"/>
      <c r="T8" s="63"/>
      <c r="U8" s="63"/>
      <c r="V8" s="63"/>
      <c r="W8" s="63"/>
      <c r="X8" s="63"/>
      <c r="Y8" s="63"/>
      <c r="Z8" s="64"/>
      <c r="AA8" s="64"/>
      <c r="AB8" s="64"/>
    </row>
    <row r="9" spans="1:28" s="32" customFormat="1" ht="216" customHeight="1" x14ac:dyDescent="0.2">
      <c r="A9" s="77" t="s">
        <v>13</v>
      </c>
      <c r="B9" s="78" t="s">
        <v>18</v>
      </c>
      <c r="C9" s="68">
        <v>2020</v>
      </c>
      <c r="D9" s="68">
        <v>2026</v>
      </c>
      <c r="E9" s="68" t="s">
        <v>55</v>
      </c>
      <c r="F9" s="68" t="s">
        <v>56</v>
      </c>
      <c r="G9" s="87">
        <v>2074423.8</v>
      </c>
      <c r="H9" s="10">
        <f>J9+K9</f>
        <v>321649.68365999998</v>
      </c>
      <c r="I9" s="10"/>
      <c r="J9" s="10">
        <v>289484.67666</v>
      </c>
      <c r="K9" s="9">
        <f>2129.76151+30035.24549</f>
        <v>32165.007000000001</v>
      </c>
      <c r="L9" s="10">
        <f>SUM(N9+O9)</f>
        <v>753309.55556000001</v>
      </c>
      <c r="M9" s="10"/>
      <c r="N9" s="10">
        <v>677978.6</v>
      </c>
      <c r="O9" s="81">
        <v>75330.955560000002</v>
      </c>
      <c r="P9" s="10"/>
      <c r="Q9" s="10"/>
      <c r="R9" s="10"/>
      <c r="S9" s="79"/>
      <c r="T9" s="66">
        <f>SUM(V9+W9)</f>
        <v>319714.04733999999</v>
      </c>
      <c r="U9" s="82"/>
      <c r="V9" s="66">
        <v>287742.64256000001</v>
      </c>
      <c r="W9" s="66">
        <f>29841.64327+2129.76151</f>
        <v>31971.404780000001</v>
      </c>
      <c r="X9" s="83">
        <f>T9/H9*100</f>
        <v>99.398216003829162</v>
      </c>
      <c r="Y9" s="95" t="s">
        <v>84</v>
      </c>
      <c r="Z9" s="67"/>
      <c r="AA9" s="67"/>
      <c r="AB9" s="67"/>
    </row>
    <row r="10" spans="1:28" s="32" customFormat="1" ht="81" customHeight="1" x14ac:dyDescent="0.2">
      <c r="A10" s="77" t="s">
        <v>14</v>
      </c>
      <c r="B10" s="78" t="s">
        <v>24</v>
      </c>
      <c r="C10" s="68">
        <v>2015</v>
      </c>
      <c r="D10" s="68">
        <v>2025</v>
      </c>
      <c r="E10" s="68" t="s">
        <v>58</v>
      </c>
      <c r="F10" s="68" t="s">
        <v>25</v>
      </c>
      <c r="G10" s="87">
        <v>874225</v>
      </c>
      <c r="H10" s="10">
        <f>I10+J10+K10</f>
        <v>180890.86984</v>
      </c>
      <c r="I10" s="10"/>
      <c r="J10" s="49">
        <v>159458.64996000001</v>
      </c>
      <c r="K10" s="49">
        <f>2410+1304.5921+11341.66878+6375.959</f>
        <v>21432.219880000001</v>
      </c>
      <c r="L10" s="10"/>
      <c r="M10" s="10"/>
      <c r="N10" s="10"/>
      <c r="O10" s="10"/>
      <c r="P10" s="10"/>
      <c r="Q10" s="10"/>
      <c r="R10" s="10"/>
      <c r="S10" s="79"/>
      <c r="T10" s="66">
        <f>SUM(V10+W10)</f>
        <v>179041.31313000002</v>
      </c>
      <c r="U10" s="66"/>
      <c r="V10" s="66">
        <f>158284.39589</f>
        <v>158284.39589000001</v>
      </c>
      <c r="W10" s="66">
        <f>2372.95+796.8121+11211.19614+6375.959</f>
        <v>20756.917239999999</v>
      </c>
      <c r="X10" s="80">
        <f>T10/H10*100</f>
        <v>98.977528986600632</v>
      </c>
      <c r="Y10" s="110" t="s">
        <v>77</v>
      </c>
      <c r="Z10" s="67"/>
      <c r="AA10" s="67"/>
      <c r="AB10" s="67"/>
    </row>
    <row r="11" spans="1:28" s="32" customFormat="1" ht="160.5" customHeight="1" x14ac:dyDescent="0.2">
      <c r="A11" s="77" t="s">
        <v>52</v>
      </c>
      <c r="B11" s="78" t="s">
        <v>53</v>
      </c>
      <c r="C11" s="68">
        <v>2023</v>
      </c>
      <c r="D11" s="68">
        <v>2029</v>
      </c>
      <c r="E11" s="68">
        <v>200</v>
      </c>
      <c r="F11" s="68" t="s">
        <v>54</v>
      </c>
      <c r="G11" s="87">
        <v>763951.7</v>
      </c>
      <c r="H11" s="10">
        <f>K11+J11</f>
        <v>909.75296000000003</v>
      </c>
      <c r="I11" s="10"/>
      <c r="J11" s="49"/>
      <c r="K11" s="49">
        <v>909.75296000000003</v>
      </c>
      <c r="L11" s="10"/>
      <c r="M11" s="10"/>
      <c r="N11" s="10"/>
      <c r="O11" s="10"/>
      <c r="P11" s="10"/>
      <c r="Q11" s="10"/>
      <c r="R11" s="10"/>
      <c r="S11" s="79"/>
      <c r="T11" s="66">
        <f>SUM(V11+W11)</f>
        <v>909.75296000000003</v>
      </c>
      <c r="U11" s="66"/>
      <c r="V11" s="66"/>
      <c r="W11" s="66">
        <v>909.75296000000003</v>
      </c>
      <c r="X11" s="80">
        <f>T11/H11*100</f>
        <v>100</v>
      </c>
      <c r="Y11" s="110" t="s">
        <v>85</v>
      </c>
      <c r="Z11" s="67"/>
      <c r="AA11" s="67"/>
      <c r="AB11" s="67"/>
    </row>
    <row r="12" spans="1:28" s="32" customFormat="1" ht="84" customHeight="1" x14ac:dyDescent="0.2">
      <c r="A12" s="77" t="s">
        <v>60</v>
      </c>
      <c r="B12" s="78" t="s">
        <v>62</v>
      </c>
      <c r="C12" s="68">
        <v>2025</v>
      </c>
      <c r="D12" s="68">
        <v>2027</v>
      </c>
      <c r="E12" s="68">
        <v>20</v>
      </c>
      <c r="F12" s="68" t="s">
        <v>61</v>
      </c>
      <c r="G12" s="87" t="s">
        <v>15</v>
      </c>
      <c r="H12" s="10">
        <f>SUM(K12+J12)</f>
        <v>15000</v>
      </c>
      <c r="I12" s="10"/>
      <c r="J12" s="49"/>
      <c r="K12" s="49">
        <v>15000</v>
      </c>
      <c r="L12" s="10">
        <f>SUM(M12+N12+O12)</f>
        <v>50</v>
      </c>
      <c r="M12" s="10"/>
      <c r="N12" s="10"/>
      <c r="O12" s="10">
        <v>50</v>
      </c>
      <c r="P12" s="10"/>
      <c r="Q12" s="10"/>
      <c r="R12" s="10"/>
      <c r="S12" s="79"/>
      <c r="T12" s="66">
        <v>0</v>
      </c>
      <c r="U12" s="66"/>
      <c r="V12" s="66">
        <v>0</v>
      </c>
      <c r="W12" s="66">
        <v>0</v>
      </c>
      <c r="X12" s="80">
        <v>0</v>
      </c>
      <c r="Y12" s="110" t="s">
        <v>86</v>
      </c>
      <c r="Z12" s="67"/>
      <c r="AA12" s="67"/>
      <c r="AB12" s="67"/>
    </row>
    <row r="13" spans="1:28" s="65" customFormat="1" ht="27.75" customHeight="1" x14ac:dyDescent="0.2">
      <c r="A13" s="17"/>
      <c r="B13" s="19" t="s">
        <v>11</v>
      </c>
      <c r="C13" s="18"/>
      <c r="D13" s="18"/>
      <c r="E13" s="18"/>
      <c r="F13" s="18"/>
      <c r="G13" s="18"/>
      <c r="H13" s="6">
        <f>SUM(H9:H12)</f>
        <v>518450.30645999999</v>
      </c>
      <c r="I13" s="6"/>
      <c r="J13" s="6">
        <f>SUM(J9:J10)</f>
        <v>448943.32662000001</v>
      </c>
      <c r="K13" s="6">
        <f>SUM(K9:K12)</f>
        <v>69506.97984</v>
      </c>
      <c r="L13" s="6">
        <f>SUM(L9:L12)</f>
        <v>753359.55556000001</v>
      </c>
      <c r="M13" s="6"/>
      <c r="N13" s="6">
        <f>SUM(N9:N12)</f>
        <v>677978.6</v>
      </c>
      <c r="O13" s="6">
        <f>SUM(O9:O12)</f>
        <v>75380.955560000002</v>
      </c>
      <c r="P13" s="6"/>
      <c r="Q13" s="6"/>
      <c r="R13" s="6"/>
      <c r="S13" s="43"/>
      <c r="T13" s="56">
        <f>SUM(T9:T11)</f>
        <v>499665.11343000003</v>
      </c>
      <c r="U13" s="62"/>
      <c r="V13" s="56">
        <f>SUM(V9:V10)</f>
        <v>446027.03844999999</v>
      </c>
      <c r="W13" s="56">
        <f>SUM(W9:W12)</f>
        <v>53638.074979999998</v>
      </c>
      <c r="X13" s="96">
        <f>T13/H13*100</f>
        <v>96.376664687833625</v>
      </c>
      <c r="Y13" s="46"/>
      <c r="Z13" s="64"/>
      <c r="AA13" s="64"/>
      <c r="AB13" s="64"/>
    </row>
    <row r="14" spans="1:28" s="65" customFormat="1" ht="28.5" hidden="1" customHeight="1" x14ac:dyDescent="0.2">
      <c r="A14" s="17" t="s">
        <v>21</v>
      </c>
      <c r="B14" s="142" t="s">
        <v>64</v>
      </c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4"/>
      <c r="T14" s="46"/>
      <c r="U14" s="46"/>
      <c r="V14" s="46"/>
      <c r="W14" s="46"/>
      <c r="X14" s="46"/>
      <c r="Y14" s="46"/>
      <c r="Z14" s="64"/>
      <c r="AA14" s="64"/>
      <c r="AB14" s="64"/>
    </row>
    <row r="15" spans="1:28" s="65" customFormat="1" ht="28.5" hidden="1" customHeight="1" x14ac:dyDescent="0.2">
      <c r="A15" s="28"/>
      <c r="B15" s="103" t="s">
        <v>65</v>
      </c>
      <c r="C15" s="104"/>
      <c r="D15" s="104"/>
      <c r="E15" s="104"/>
      <c r="F15" s="104"/>
      <c r="G15" s="104"/>
      <c r="H15" s="105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7"/>
      <c r="T15" s="46"/>
      <c r="U15" s="46"/>
      <c r="V15" s="46"/>
      <c r="W15" s="46"/>
      <c r="X15" s="46"/>
      <c r="Y15" s="46"/>
      <c r="Z15" s="64"/>
      <c r="AA15" s="64"/>
      <c r="AB15" s="64"/>
    </row>
    <row r="16" spans="1:28" s="65" customFormat="1" ht="67.5" hidden="1" customHeight="1" x14ac:dyDescent="0.2">
      <c r="A16" s="17" t="s">
        <v>34</v>
      </c>
      <c r="B16" s="76" t="s">
        <v>66</v>
      </c>
      <c r="C16" s="18">
        <v>2026</v>
      </c>
      <c r="D16" s="18">
        <v>2027</v>
      </c>
      <c r="E16" s="18">
        <v>515.4</v>
      </c>
      <c r="F16" s="18" t="s">
        <v>67</v>
      </c>
      <c r="G16" s="9">
        <v>126.9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2"/>
      <c r="T16" s="66"/>
      <c r="U16" s="66"/>
      <c r="V16" s="66"/>
      <c r="W16" s="66"/>
      <c r="X16" s="80" t="e">
        <f>T16/(L16+P16)*100</f>
        <v>#DIV/0!</v>
      </c>
      <c r="Y16" s="69"/>
      <c r="Z16" s="64"/>
      <c r="AA16" s="64"/>
      <c r="AB16" s="64"/>
    </row>
    <row r="17" spans="1:28" s="65" customFormat="1" ht="39" hidden="1" customHeight="1" x14ac:dyDescent="0.2">
      <c r="A17" s="26"/>
      <c r="B17" s="108" t="s">
        <v>11</v>
      </c>
      <c r="C17" s="27"/>
      <c r="D17" s="27"/>
      <c r="E17" s="27"/>
      <c r="F17" s="27"/>
      <c r="G17" s="27"/>
      <c r="H17" s="4"/>
      <c r="I17" s="4"/>
      <c r="J17" s="4"/>
      <c r="K17" s="4"/>
      <c r="L17" s="4">
        <f>SUM(L16:L16)</f>
        <v>0</v>
      </c>
      <c r="M17" s="4"/>
      <c r="N17" s="4">
        <f>SUM(N16:N16)</f>
        <v>0</v>
      </c>
      <c r="O17" s="4">
        <f>SUM(O16:O16)</f>
        <v>0</v>
      </c>
      <c r="P17" s="4">
        <f>SUM(P16:P16)</f>
        <v>0</v>
      </c>
      <c r="Q17" s="4"/>
      <c r="R17" s="4">
        <f>SUM(R16:R16)</f>
        <v>0</v>
      </c>
      <c r="S17" s="44">
        <f>SUM(S16:S16)</f>
        <v>0</v>
      </c>
      <c r="T17" s="46"/>
      <c r="U17" s="46"/>
      <c r="V17" s="46"/>
      <c r="W17" s="46"/>
      <c r="X17" s="18"/>
      <c r="Y17" s="46"/>
      <c r="Z17" s="64"/>
      <c r="AA17" s="64"/>
      <c r="AB17" s="64"/>
    </row>
    <row r="18" spans="1:28" s="65" customFormat="1" ht="18.75" customHeight="1" x14ac:dyDescent="0.2">
      <c r="A18" s="17" t="s">
        <v>21</v>
      </c>
      <c r="B18" s="133" t="s">
        <v>20</v>
      </c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2"/>
      <c r="T18" s="46"/>
      <c r="U18" s="46"/>
      <c r="V18" s="46"/>
      <c r="W18" s="46"/>
      <c r="X18" s="18"/>
      <c r="Y18" s="46"/>
      <c r="Z18" s="64"/>
      <c r="AA18" s="64"/>
      <c r="AB18" s="64"/>
    </row>
    <row r="19" spans="1:28" s="65" customFormat="1" ht="33.75" customHeight="1" x14ac:dyDescent="0.25">
      <c r="A19" s="70"/>
      <c r="B19" s="137" t="s">
        <v>19</v>
      </c>
      <c r="C19" s="138"/>
      <c r="D19" s="138"/>
      <c r="E19" s="138"/>
      <c r="F19" s="138"/>
      <c r="G19" s="138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21"/>
      <c r="T19" s="46"/>
      <c r="U19" s="46"/>
      <c r="V19" s="46"/>
      <c r="W19" s="46"/>
      <c r="X19" s="18"/>
      <c r="Y19" s="46"/>
      <c r="Z19" s="64"/>
      <c r="AA19" s="64"/>
      <c r="AB19" s="64"/>
    </row>
    <row r="20" spans="1:28" s="32" customFormat="1" ht="149.25" customHeight="1" x14ac:dyDescent="0.2">
      <c r="A20" s="28" t="s">
        <v>34</v>
      </c>
      <c r="B20" s="76" t="s">
        <v>27</v>
      </c>
      <c r="C20" s="84">
        <v>2020</v>
      </c>
      <c r="D20" s="84">
        <v>2026</v>
      </c>
      <c r="E20" s="84">
        <v>2000</v>
      </c>
      <c r="F20" s="84" t="s">
        <v>28</v>
      </c>
      <c r="G20" s="85">
        <v>630043</v>
      </c>
      <c r="H20" s="10">
        <f t="shared" ref="H20" si="0">K20+J20</f>
        <v>252553.93896</v>
      </c>
      <c r="I20" s="10"/>
      <c r="J20" s="10">
        <v>239925.93896</v>
      </c>
      <c r="K20" s="10">
        <f>4870.176+7757.824</f>
        <v>12628</v>
      </c>
      <c r="L20" s="10">
        <f>SUM(N20+O20)</f>
        <v>51806</v>
      </c>
      <c r="M20" s="9"/>
      <c r="N20" s="9">
        <v>49401</v>
      </c>
      <c r="O20" s="9">
        <f>1906+499</f>
        <v>2405</v>
      </c>
      <c r="P20" s="9"/>
      <c r="Q20" s="9"/>
      <c r="R20" s="9"/>
      <c r="S20" s="21"/>
      <c r="T20" s="71">
        <f t="shared" ref="T20:T25" si="1">SUM(V20+W20)</f>
        <v>252547.75821</v>
      </c>
      <c r="U20" s="71"/>
      <c r="V20" s="66">
        <v>239920.37027000001</v>
      </c>
      <c r="W20" s="71">
        <f>4869.56394+7757.824</f>
        <v>12627.387940000001</v>
      </c>
      <c r="X20" s="80">
        <f>T20/(H20+L20)*100</f>
        <v>82.976675272362527</v>
      </c>
      <c r="Y20" s="95" t="s">
        <v>87</v>
      </c>
      <c r="Z20" s="67"/>
      <c r="AA20" s="67"/>
      <c r="AB20" s="67"/>
    </row>
    <row r="21" spans="1:28" s="32" customFormat="1" ht="159.75" customHeight="1" x14ac:dyDescent="0.2">
      <c r="A21" s="109" t="s">
        <v>71</v>
      </c>
      <c r="B21" s="86" t="s">
        <v>36</v>
      </c>
      <c r="C21" s="68">
        <v>2025</v>
      </c>
      <c r="D21" s="68">
        <v>2027</v>
      </c>
      <c r="E21" s="68">
        <v>500</v>
      </c>
      <c r="F21" s="87" t="s">
        <v>38</v>
      </c>
      <c r="G21" s="71">
        <v>151200.6</v>
      </c>
      <c r="H21" s="10"/>
      <c r="I21" s="10"/>
      <c r="J21" s="10"/>
      <c r="K21" s="10"/>
      <c r="L21" s="10">
        <f>M21+N21+O21</f>
        <v>32904.843000000001</v>
      </c>
      <c r="M21" s="10"/>
      <c r="N21" s="9">
        <v>31259.599999999999</v>
      </c>
      <c r="O21" s="9">
        <v>1645.2429999999999</v>
      </c>
      <c r="P21" s="9">
        <f t="shared" ref="P21:P23" si="2">Q21+R21+S21</f>
        <v>124662</v>
      </c>
      <c r="Q21" s="9"/>
      <c r="R21" s="9">
        <v>118428.9</v>
      </c>
      <c r="S21" s="50">
        <v>6233.1</v>
      </c>
      <c r="T21" s="66">
        <f t="shared" si="1"/>
        <v>0</v>
      </c>
      <c r="U21" s="66"/>
      <c r="V21" s="66">
        <v>0</v>
      </c>
      <c r="W21" s="66">
        <v>0</v>
      </c>
      <c r="X21" s="80">
        <v>0</v>
      </c>
      <c r="Y21" s="95" t="s">
        <v>78</v>
      </c>
    </row>
    <row r="22" spans="1:28" s="32" customFormat="1" ht="190.5" customHeight="1" x14ac:dyDescent="0.2">
      <c r="A22" s="77" t="s">
        <v>72</v>
      </c>
      <c r="B22" s="86" t="s">
        <v>37</v>
      </c>
      <c r="C22" s="68">
        <v>2025</v>
      </c>
      <c r="D22" s="68">
        <v>2027</v>
      </c>
      <c r="E22" s="68">
        <v>2000</v>
      </c>
      <c r="F22" s="87" t="s">
        <v>38</v>
      </c>
      <c r="G22" s="98">
        <v>645775.69999999995</v>
      </c>
      <c r="H22" s="10"/>
      <c r="I22" s="10"/>
      <c r="J22" s="10"/>
      <c r="K22" s="10"/>
      <c r="L22" s="10">
        <f>SUM(N22+O22)</f>
        <v>288978.63199999998</v>
      </c>
      <c r="M22" s="10"/>
      <c r="N22" s="9">
        <v>274529.7</v>
      </c>
      <c r="O22" s="9">
        <v>14448.932000000001</v>
      </c>
      <c r="P22" s="9">
        <f t="shared" si="2"/>
        <v>383987.47399999999</v>
      </c>
      <c r="Q22" s="9"/>
      <c r="R22" s="9">
        <v>364788.1</v>
      </c>
      <c r="S22" s="50">
        <v>19199.374</v>
      </c>
      <c r="T22" s="71">
        <f t="shared" si="1"/>
        <v>0</v>
      </c>
      <c r="U22" s="71"/>
      <c r="V22" s="71">
        <v>0</v>
      </c>
      <c r="W22" s="71">
        <v>0</v>
      </c>
      <c r="X22" s="80">
        <v>0</v>
      </c>
      <c r="Y22" s="95" t="s">
        <v>79</v>
      </c>
    </row>
    <row r="23" spans="1:28" s="32" customFormat="1" ht="82.5" customHeight="1" x14ac:dyDescent="0.2">
      <c r="A23" s="68" t="s">
        <v>73</v>
      </c>
      <c r="B23" s="88" t="s">
        <v>43</v>
      </c>
      <c r="C23" s="18">
        <v>2025</v>
      </c>
      <c r="D23" s="18">
        <v>2027</v>
      </c>
      <c r="E23" s="18">
        <v>70</v>
      </c>
      <c r="F23" s="18" t="s">
        <v>33</v>
      </c>
      <c r="G23" s="98">
        <v>78267.8</v>
      </c>
      <c r="H23" s="10"/>
      <c r="I23" s="10"/>
      <c r="J23" s="10"/>
      <c r="K23" s="10"/>
      <c r="L23" s="10">
        <f t="shared" ref="L23" si="3">M23+N23+O23</f>
        <v>36496.116000000002</v>
      </c>
      <c r="M23" s="10"/>
      <c r="N23" s="9">
        <v>35145</v>
      </c>
      <c r="O23" s="9">
        <v>1351.116</v>
      </c>
      <c r="P23" s="9">
        <f t="shared" si="2"/>
        <v>44568.527000000002</v>
      </c>
      <c r="Q23" s="9"/>
      <c r="R23" s="9">
        <v>42340.1</v>
      </c>
      <c r="S23" s="50">
        <v>2228.4270000000001</v>
      </c>
      <c r="T23" s="71">
        <f t="shared" si="1"/>
        <v>0</v>
      </c>
      <c r="U23" s="89"/>
      <c r="V23" s="83">
        <v>0</v>
      </c>
      <c r="W23" s="83">
        <v>0</v>
      </c>
      <c r="X23" s="83">
        <v>0</v>
      </c>
      <c r="Y23" s="95" t="s">
        <v>80</v>
      </c>
    </row>
    <row r="24" spans="1:28" s="32" customFormat="1" ht="219" customHeight="1" x14ac:dyDescent="0.2">
      <c r="A24" s="17" t="s">
        <v>74</v>
      </c>
      <c r="B24" s="76" t="s">
        <v>50</v>
      </c>
      <c r="C24" s="18">
        <v>2024</v>
      </c>
      <c r="D24" s="18">
        <v>2026</v>
      </c>
      <c r="E24" s="18">
        <v>7.8</v>
      </c>
      <c r="F24" s="90" t="s">
        <v>44</v>
      </c>
      <c r="G24" s="10">
        <v>197926.1</v>
      </c>
      <c r="H24" s="9">
        <f>I24+J24+K24</f>
        <v>164756.106</v>
      </c>
      <c r="I24" s="9"/>
      <c r="J24" s="9">
        <v>156109.79999999999</v>
      </c>
      <c r="K24" s="9">
        <f>430+8216.306</f>
        <v>8646.3060000000005</v>
      </c>
      <c r="L24" s="10">
        <f>SUM(N24+O24)</f>
        <v>33600</v>
      </c>
      <c r="M24" s="10"/>
      <c r="N24" s="9">
        <v>33264</v>
      </c>
      <c r="O24" s="9">
        <v>336</v>
      </c>
      <c r="P24" s="9"/>
      <c r="Q24" s="9"/>
      <c r="R24" s="9"/>
      <c r="S24" s="45"/>
      <c r="T24" s="66">
        <f t="shared" si="1"/>
        <v>132598.87362</v>
      </c>
      <c r="U24" s="66"/>
      <c r="V24" s="66">
        <v>125968.9299</v>
      </c>
      <c r="W24" s="66">
        <v>6629.9437200000002</v>
      </c>
      <c r="X24" s="83">
        <f>T24/H24*100</f>
        <v>80.48191768989733</v>
      </c>
      <c r="Y24" s="69" t="s">
        <v>81</v>
      </c>
    </row>
    <row r="25" spans="1:28" s="32" customFormat="1" ht="88.5" customHeight="1" x14ac:dyDescent="0.2">
      <c r="A25" s="26" t="s">
        <v>75</v>
      </c>
      <c r="B25" s="76" t="s">
        <v>46</v>
      </c>
      <c r="C25" s="18">
        <v>2023</v>
      </c>
      <c r="D25" s="18">
        <v>2025</v>
      </c>
      <c r="E25" s="18">
        <v>600</v>
      </c>
      <c r="F25" s="90" t="s">
        <v>33</v>
      </c>
      <c r="G25" s="91" t="s">
        <v>57</v>
      </c>
      <c r="H25" s="9">
        <f>SUM(J25+K25)</f>
        <v>5065.2762499999999</v>
      </c>
      <c r="I25" s="9"/>
      <c r="J25" s="9"/>
      <c r="K25" s="9">
        <v>5065.2762499999999</v>
      </c>
      <c r="L25" s="10"/>
      <c r="M25" s="10"/>
      <c r="N25" s="9"/>
      <c r="O25" s="9"/>
      <c r="P25" s="9"/>
      <c r="Q25" s="9"/>
      <c r="R25" s="9"/>
      <c r="S25" s="45"/>
      <c r="T25" s="66">
        <f t="shared" si="1"/>
        <v>5065.2762499999999</v>
      </c>
      <c r="U25" s="66"/>
      <c r="V25" s="66"/>
      <c r="W25" s="66">
        <v>5065.2762499999999</v>
      </c>
      <c r="X25" s="83">
        <f>T25/H25*100</f>
        <v>100</v>
      </c>
      <c r="Y25" s="86" t="s">
        <v>82</v>
      </c>
    </row>
    <row r="26" spans="1:28" s="73" customFormat="1" ht="27" customHeight="1" x14ac:dyDescent="0.25">
      <c r="A26" s="48"/>
      <c r="B26" s="23" t="s">
        <v>11</v>
      </c>
      <c r="C26" s="24"/>
      <c r="D26" s="24"/>
      <c r="E26" s="24"/>
      <c r="F26" s="25"/>
      <c r="G26" s="24"/>
      <c r="H26" s="4">
        <f>SUM(H20:H25)</f>
        <v>422375.32120999997</v>
      </c>
      <c r="I26" s="4"/>
      <c r="J26" s="4">
        <f>SUM(J20:J25)</f>
        <v>396035.73895999999</v>
      </c>
      <c r="K26" s="4">
        <f>SUM(K20:K25)</f>
        <v>26339.582249999999</v>
      </c>
      <c r="L26" s="6">
        <f>SUM(L20:L24)</f>
        <v>443785.59099999996</v>
      </c>
      <c r="M26" s="6"/>
      <c r="N26" s="4">
        <f>SUM(N20:N24)</f>
        <v>423599.30000000005</v>
      </c>
      <c r="O26" s="4">
        <f>SUM(O20:O24)</f>
        <v>20186.290999999997</v>
      </c>
      <c r="P26" s="4">
        <f>SUM(P20:P24)</f>
        <v>553218.00099999993</v>
      </c>
      <c r="Q26" s="4"/>
      <c r="R26" s="4">
        <f>SUM(R20:R24)</f>
        <v>525557.1</v>
      </c>
      <c r="S26" s="44">
        <f>SUM(S20:S24)</f>
        <v>27660.901000000002</v>
      </c>
      <c r="T26" s="44">
        <f>SUM(T20:T25)</f>
        <v>390211.90807999996</v>
      </c>
      <c r="U26" s="72"/>
      <c r="V26" s="44">
        <f t="shared" ref="V26" si="4">SUM(V20:V24)</f>
        <v>365889.30017</v>
      </c>
      <c r="W26" s="44">
        <f>SUM(W20:W25)</f>
        <v>24322.607909999999</v>
      </c>
      <c r="X26" s="97">
        <f>T26/H26*100</f>
        <v>92.385110702524045</v>
      </c>
      <c r="Y26" s="72"/>
    </row>
    <row r="27" spans="1:28" s="32" customFormat="1" ht="22.5" customHeight="1" x14ac:dyDescent="0.2">
      <c r="A27" s="17">
        <v>3</v>
      </c>
      <c r="B27" s="133" t="s">
        <v>30</v>
      </c>
      <c r="C27" s="130"/>
      <c r="D27" s="130"/>
      <c r="E27" s="130"/>
      <c r="F27" s="130"/>
      <c r="G27" s="130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2"/>
      <c r="T27" s="46"/>
      <c r="U27" s="46"/>
      <c r="V27" s="46"/>
      <c r="W27" s="46"/>
      <c r="X27" s="46"/>
      <c r="Y27" s="46"/>
    </row>
    <row r="28" spans="1:28" s="32" customFormat="1" ht="186" customHeight="1" x14ac:dyDescent="0.2">
      <c r="A28" s="77" t="s">
        <v>22</v>
      </c>
      <c r="B28" s="86" t="s">
        <v>29</v>
      </c>
      <c r="C28" s="68">
        <v>2024</v>
      </c>
      <c r="D28" s="68">
        <v>2025</v>
      </c>
      <c r="E28" s="68">
        <v>40</v>
      </c>
      <c r="F28" s="87" t="s">
        <v>88</v>
      </c>
      <c r="G28" s="87">
        <v>422194.3</v>
      </c>
      <c r="H28" s="9">
        <f>J28+K28</f>
        <v>424409.9277</v>
      </c>
      <c r="I28" s="9"/>
      <c r="J28" s="9">
        <v>399296.99</v>
      </c>
      <c r="K28" s="9">
        <f>4096.96928+17068.6+3947.36842</f>
        <v>25112.937699999999</v>
      </c>
      <c r="L28" s="10"/>
      <c r="M28" s="10"/>
      <c r="N28" s="10"/>
      <c r="O28" s="10"/>
      <c r="P28" s="9"/>
      <c r="Q28" s="9"/>
      <c r="R28" s="9"/>
      <c r="S28" s="45"/>
      <c r="T28" s="56">
        <f>SUM(V28+W28)</f>
        <v>367703.28077000001</v>
      </c>
      <c r="U28" s="52"/>
      <c r="V28" s="52">
        <v>344481.96512000001</v>
      </c>
      <c r="W28" s="52">
        <f>3157.81856+16116.12867+3947.36842</f>
        <v>23221.31565</v>
      </c>
      <c r="X28" s="80">
        <f>T28/H28*100</f>
        <v>86.638708656673117</v>
      </c>
      <c r="Y28" s="110" t="s">
        <v>83</v>
      </c>
    </row>
    <row r="29" spans="1:28" s="32" customFormat="1" ht="27" customHeight="1" x14ac:dyDescent="0.2">
      <c r="A29" s="74"/>
      <c r="B29" s="113" t="s">
        <v>11</v>
      </c>
      <c r="C29" s="75"/>
      <c r="D29" s="75"/>
      <c r="E29" s="75"/>
      <c r="F29" s="75"/>
      <c r="G29" s="75"/>
      <c r="H29" s="6">
        <f>SUM(H28:H28)</f>
        <v>424409.9277</v>
      </c>
      <c r="I29" s="6"/>
      <c r="J29" s="6">
        <f>SUM(J28:J28)</f>
        <v>399296.99</v>
      </c>
      <c r="K29" s="6">
        <f>SUM(K28:K28)</f>
        <v>25112.937699999999</v>
      </c>
      <c r="L29" s="6"/>
      <c r="M29" s="6"/>
      <c r="N29" s="6"/>
      <c r="O29" s="6"/>
      <c r="P29" s="6"/>
      <c r="Q29" s="10"/>
      <c r="R29" s="9"/>
      <c r="S29" s="45"/>
      <c r="T29" s="56">
        <f>SUM(T28)</f>
        <v>367703.28077000001</v>
      </c>
      <c r="U29" s="56"/>
      <c r="V29" s="56">
        <f t="shared" ref="V29:W29" si="5">SUM(V28)</f>
        <v>344481.96512000001</v>
      </c>
      <c r="W29" s="56">
        <f t="shared" si="5"/>
        <v>23221.31565</v>
      </c>
      <c r="X29" s="96">
        <f>T29/H29*100</f>
        <v>86.638708656673117</v>
      </c>
      <c r="Y29" s="46"/>
    </row>
    <row r="30" spans="1:28" s="32" customFormat="1" ht="17.25" hidden="1" customHeight="1" x14ac:dyDescent="0.2">
      <c r="A30" s="27">
        <v>5</v>
      </c>
      <c r="B30" s="129" t="s">
        <v>39</v>
      </c>
      <c r="C30" s="130"/>
      <c r="D30" s="130"/>
      <c r="E30" s="130"/>
      <c r="F30" s="130"/>
      <c r="G30" s="130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2"/>
      <c r="T30" s="46"/>
      <c r="U30" s="46"/>
      <c r="V30" s="46"/>
      <c r="W30" s="46"/>
      <c r="X30" s="46"/>
      <c r="Y30" s="46"/>
    </row>
    <row r="31" spans="1:28" s="47" customFormat="1" ht="87.75" hidden="1" customHeight="1" x14ac:dyDescent="0.2">
      <c r="A31" s="55" t="s">
        <v>31</v>
      </c>
      <c r="B31" s="99" t="s">
        <v>40</v>
      </c>
      <c r="C31" s="100">
        <v>2024</v>
      </c>
      <c r="D31" s="101">
        <v>2026</v>
      </c>
      <c r="E31" s="100">
        <v>30</v>
      </c>
      <c r="F31" s="100" t="s">
        <v>41</v>
      </c>
      <c r="G31" s="18" t="s">
        <v>15</v>
      </c>
      <c r="H31" s="10">
        <f>K31+J31</f>
        <v>1329</v>
      </c>
      <c r="I31" s="10"/>
      <c r="J31" s="10"/>
      <c r="K31" s="10">
        <v>1329</v>
      </c>
      <c r="L31" s="10"/>
      <c r="M31" s="10"/>
      <c r="N31" s="10"/>
      <c r="O31" s="10"/>
      <c r="P31" s="10"/>
      <c r="Q31" s="10"/>
      <c r="R31" s="10"/>
      <c r="S31" s="102"/>
      <c r="T31" s="52"/>
      <c r="U31" s="46"/>
      <c r="V31" s="46"/>
      <c r="W31" s="52"/>
      <c r="X31" s="100">
        <f>T31/H31*100</f>
        <v>0</v>
      </c>
      <c r="Y31" s="99" t="s">
        <v>49</v>
      </c>
      <c r="Z31" s="32"/>
      <c r="AA31" s="32"/>
      <c r="AB31" s="32"/>
    </row>
    <row r="32" spans="1:28" s="58" customFormat="1" ht="25.5" hidden="1" customHeight="1" x14ac:dyDescent="0.25">
      <c r="A32" s="27"/>
      <c r="B32" s="36" t="s">
        <v>11</v>
      </c>
      <c r="C32" s="27"/>
      <c r="D32" s="27"/>
      <c r="E32" s="27"/>
      <c r="F32" s="27"/>
      <c r="G32" s="27"/>
      <c r="H32" s="6">
        <f>SUM(H31:H31)</f>
        <v>1329</v>
      </c>
      <c r="I32" s="6"/>
      <c r="J32" s="6"/>
      <c r="K32" s="6">
        <f>SUM(K31:K31)</f>
        <v>1329</v>
      </c>
      <c r="L32" s="6"/>
      <c r="M32" s="6"/>
      <c r="N32" s="6"/>
      <c r="O32" s="6"/>
      <c r="P32" s="6"/>
      <c r="Q32" s="6"/>
      <c r="R32" s="6"/>
      <c r="S32" s="43"/>
      <c r="T32" s="56"/>
      <c r="U32" s="56"/>
      <c r="V32" s="56"/>
      <c r="W32" s="56"/>
      <c r="X32" s="59">
        <f>SUM(X31)</f>
        <v>0</v>
      </c>
      <c r="Y32" s="57"/>
    </row>
    <row r="33" spans="1:25" s="32" customFormat="1" ht="18" customHeight="1" x14ac:dyDescent="0.2">
      <c r="A33" s="27" t="s">
        <v>76</v>
      </c>
      <c r="B33" s="117" t="s">
        <v>47</v>
      </c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9"/>
    </row>
    <row r="34" spans="1:25" s="32" customFormat="1" ht="188.25" customHeight="1" x14ac:dyDescent="0.2">
      <c r="A34" s="53" t="s">
        <v>23</v>
      </c>
      <c r="B34" s="60" t="s">
        <v>59</v>
      </c>
      <c r="C34" s="27">
        <v>2023</v>
      </c>
      <c r="D34" s="27">
        <v>2025</v>
      </c>
      <c r="E34" s="27">
        <v>0.85</v>
      </c>
      <c r="F34" s="54" t="s">
        <v>48</v>
      </c>
      <c r="G34" s="90"/>
      <c r="H34" s="10">
        <f>K34+J34</f>
        <v>1125.1322</v>
      </c>
      <c r="I34" s="6"/>
      <c r="J34" s="10"/>
      <c r="K34" s="10">
        <v>1125.1322</v>
      </c>
      <c r="L34" s="6"/>
      <c r="M34" s="6"/>
      <c r="N34" s="6"/>
      <c r="O34" s="6"/>
      <c r="P34" s="6"/>
      <c r="Q34" s="6"/>
      <c r="R34" s="6"/>
      <c r="S34" s="43"/>
      <c r="T34" s="56">
        <f>SUM(V34+W34)</f>
        <v>1125.1322</v>
      </c>
      <c r="U34" s="51"/>
      <c r="V34" s="51"/>
      <c r="W34" s="56">
        <v>1125.1322</v>
      </c>
      <c r="X34" s="61">
        <f>T34/H34*100</f>
        <v>100</v>
      </c>
      <c r="Y34" s="112" t="s">
        <v>63</v>
      </c>
    </row>
    <row r="35" spans="1:25" s="58" customFormat="1" ht="28.5" customHeight="1" x14ac:dyDescent="0.25">
      <c r="A35" s="53"/>
      <c r="B35" s="36" t="s">
        <v>11</v>
      </c>
      <c r="C35" s="27"/>
      <c r="D35" s="27"/>
      <c r="E35" s="27"/>
      <c r="F35" s="54"/>
      <c r="G35" s="27"/>
      <c r="H35" s="6">
        <f>SUM(H34:H34)</f>
        <v>1125.1322</v>
      </c>
      <c r="I35" s="6"/>
      <c r="J35" s="6">
        <f>SUM(J34)</f>
        <v>0</v>
      </c>
      <c r="K35" s="6">
        <f>SUM(K34)</f>
        <v>1125.1322</v>
      </c>
      <c r="L35" s="6"/>
      <c r="M35" s="6"/>
      <c r="N35" s="6"/>
      <c r="O35" s="6"/>
      <c r="P35" s="6"/>
      <c r="Q35" s="6"/>
      <c r="R35" s="6"/>
      <c r="S35" s="43"/>
      <c r="T35" s="56">
        <f>SUM(T34:T34)</f>
        <v>1125.1322</v>
      </c>
      <c r="U35" s="56"/>
      <c r="V35" s="56"/>
      <c r="W35" s="56">
        <f>SUM(W34)</f>
        <v>1125.1322</v>
      </c>
      <c r="X35" s="62">
        <f>T35/H35*100</f>
        <v>100</v>
      </c>
      <c r="Y35" s="111"/>
    </row>
    <row r="36" spans="1:25" s="65" customFormat="1" ht="25.5" customHeight="1" x14ac:dyDescent="0.2">
      <c r="A36" s="17"/>
      <c r="B36" s="37" t="s">
        <v>16</v>
      </c>
      <c r="C36" s="27"/>
      <c r="D36" s="27"/>
      <c r="E36" s="27"/>
      <c r="F36" s="27"/>
      <c r="G36" s="27"/>
      <c r="H36" s="6">
        <f>H13+H26+H29+H35</f>
        <v>1366360.6875700001</v>
      </c>
      <c r="I36" s="6"/>
      <c r="J36" s="6">
        <f t="shared" ref="J36:W36" si="6">J13+J17+J26+J29+J35</f>
        <v>1244276.0555799999</v>
      </c>
      <c r="K36" s="6">
        <f t="shared" si="6"/>
        <v>122084.63198999999</v>
      </c>
      <c r="L36" s="6">
        <f>L13+L26</f>
        <v>1197145.14656</v>
      </c>
      <c r="M36" s="6"/>
      <c r="N36" s="6">
        <f t="shared" si="6"/>
        <v>1101577.8999999999</v>
      </c>
      <c r="O36" s="6">
        <f>O13+O26+O29+O35</f>
        <v>95567.24656</v>
      </c>
      <c r="P36" s="6">
        <f>P26</f>
        <v>553218.00099999993</v>
      </c>
      <c r="Q36" s="6"/>
      <c r="R36" s="6">
        <f t="shared" si="6"/>
        <v>525557.1</v>
      </c>
      <c r="S36" s="6">
        <f t="shared" si="6"/>
        <v>27660.901000000002</v>
      </c>
      <c r="T36" s="6">
        <f>T13+T17+T26+T29+T35</f>
        <v>1258705.4344800001</v>
      </c>
      <c r="U36" s="6"/>
      <c r="V36" s="6">
        <f t="shared" si="6"/>
        <v>1156398.3037400001</v>
      </c>
      <c r="W36" s="6">
        <f t="shared" si="6"/>
        <v>102307.13073999999</v>
      </c>
      <c r="X36" s="62">
        <f>T36/H36*100</f>
        <v>92.121022357467027</v>
      </c>
      <c r="Y36" s="46"/>
    </row>
    <row r="37" spans="1:25" x14ac:dyDescent="0.25">
      <c r="A37" s="38"/>
      <c r="B37" s="8"/>
      <c r="C37" s="8"/>
      <c r="D37" s="8"/>
      <c r="E37" s="39"/>
      <c r="F37" s="8"/>
      <c r="G37" s="8"/>
      <c r="H37" s="40"/>
      <c r="I37" s="40"/>
      <c r="J37" s="8"/>
      <c r="K37" s="8"/>
      <c r="L37" s="7"/>
      <c r="M37" s="7"/>
      <c r="N37" s="8"/>
      <c r="O37" s="8"/>
      <c r="P37" s="7"/>
      <c r="Q37" s="7"/>
      <c r="R37" s="8"/>
      <c r="S37" s="41"/>
      <c r="T37" s="114"/>
      <c r="U37" s="114"/>
      <c r="V37" s="114"/>
      <c r="W37" s="114"/>
      <c r="X37" s="114"/>
      <c r="Y37" s="114"/>
    </row>
    <row r="38" spans="1:25" x14ac:dyDescent="0.2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5"/>
      <c r="M38" s="5"/>
      <c r="N38" s="5"/>
      <c r="O38" s="5"/>
      <c r="P38" s="1"/>
      <c r="Q38" s="1"/>
      <c r="R38" s="1"/>
      <c r="S38" s="14"/>
    </row>
    <row r="39" spans="1:25" x14ac:dyDescent="0.2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5"/>
      <c r="M39" s="5"/>
      <c r="N39" s="5"/>
      <c r="O39" s="5"/>
      <c r="P39" s="1"/>
      <c r="Q39" s="1"/>
      <c r="R39" s="1"/>
      <c r="S39" s="14"/>
    </row>
    <row r="40" spans="1:25" x14ac:dyDescent="0.25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5"/>
      <c r="M40" s="5"/>
      <c r="N40" s="5"/>
      <c r="O40" s="5"/>
      <c r="P40" s="1"/>
      <c r="Q40" s="1"/>
      <c r="R40" s="1"/>
      <c r="S40" s="14"/>
    </row>
  </sheetData>
  <autoFilter ref="A6:S36">
    <filterColumn colId="2" showButton="0"/>
    <filterColumn colId="7" showButton="0"/>
    <filterColumn colId="8" hiddenButton="1" showButton="0"/>
    <filterColumn colId="9" showButton="0"/>
    <filterColumn colId="11" showButton="0"/>
    <filterColumn colId="12" hiddenButton="1" showButton="0"/>
    <filterColumn colId="13" showButton="0"/>
    <filterColumn colId="15" showButton="0"/>
    <filterColumn colId="16" hiddenButton="1" showButton="0"/>
    <filterColumn colId="17" showButton="0"/>
  </autoFilter>
  <mergeCells count="22">
    <mergeCell ref="T6:W6"/>
    <mergeCell ref="B19:G19"/>
    <mergeCell ref="B8:S8"/>
    <mergeCell ref="G6:G7"/>
    <mergeCell ref="F6:F7"/>
    <mergeCell ref="B14:S14"/>
    <mergeCell ref="X6:X7"/>
    <mergeCell ref="B33:Y33"/>
    <mergeCell ref="L1:S1"/>
    <mergeCell ref="L2:S2"/>
    <mergeCell ref="A3:L3"/>
    <mergeCell ref="A4:L4"/>
    <mergeCell ref="C6:D6"/>
    <mergeCell ref="H6:K6"/>
    <mergeCell ref="L6:O6"/>
    <mergeCell ref="P6:S6"/>
    <mergeCell ref="A6:A7"/>
    <mergeCell ref="B6:B7"/>
    <mergeCell ref="E6:E7"/>
    <mergeCell ref="B30:S30"/>
    <mergeCell ref="B27:S27"/>
    <mergeCell ref="B18:S18"/>
  </mergeCells>
  <pageMargins left="0" right="0" top="0.19685039370078741" bottom="0" header="0.31496062992125984" footer="0.19685039370078741"/>
  <pageSetup paperSize="9" scale="38" orientation="landscape" r:id="rId1"/>
  <colBreaks count="2" manualBreakCount="2">
    <brk id="25" max="1048575" man="1"/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MultiDVD 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Билоус Светлана Анатольевна</cp:lastModifiedBy>
  <cp:lastPrinted>2026-01-13T10:01:49Z</cp:lastPrinted>
  <dcterms:created xsi:type="dcterms:W3CDTF">2017-03-29T08:26:35Z</dcterms:created>
  <dcterms:modified xsi:type="dcterms:W3CDTF">2026-02-25T08:03:35Z</dcterms:modified>
</cp:coreProperties>
</file>