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2024" sheetId="5" r:id="rId1"/>
  </sheets>
  <definedNames>
    <definedName name="_xlnm.Print_Titles" localSheetId="0">'2024'!$5:$6</definedName>
  </definedNames>
  <calcPr calcId="152511"/>
</workbook>
</file>

<file path=xl/calcChain.xml><?xml version="1.0" encoding="utf-8"?>
<calcChain xmlns="http://schemas.openxmlformats.org/spreadsheetml/2006/main">
  <c r="F35" i="5" l="1"/>
  <c r="K10" i="5"/>
  <c r="K21" i="5"/>
  <c r="F10" i="5" l="1"/>
  <c r="K40" i="5" l="1"/>
  <c r="F40" i="5"/>
  <c r="K43" i="5"/>
  <c r="F43" i="5"/>
  <c r="H42" i="5"/>
  <c r="C42" i="5"/>
  <c r="C43" i="5" s="1"/>
  <c r="H43" i="5" l="1"/>
  <c r="L42" i="5"/>
  <c r="L43" i="5" s="1"/>
  <c r="M43" i="5" s="1"/>
  <c r="H13" i="5"/>
  <c r="L13" i="5" s="1"/>
  <c r="C13" i="5"/>
  <c r="H11" i="5"/>
  <c r="C11" i="5"/>
  <c r="M11" i="5" s="1"/>
  <c r="L10" i="5"/>
  <c r="H10" i="5"/>
  <c r="C10" i="5"/>
  <c r="M13" i="5" l="1"/>
  <c r="M10" i="5"/>
  <c r="K46" i="5"/>
  <c r="H45" i="5"/>
  <c r="H46" i="5" l="1"/>
  <c r="L45" i="5"/>
  <c r="L46" i="5" s="1"/>
  <c r="F46" i="5"/>
  <c r="C45" i="5"/>
  <c r="C46" i="5" l="1"/>
  <c r="M46" i="5" s="1"/>
  <c r="M45" i="5"/>
  <c r="K14" i="5" l="1"/>
  <c r="C35" i="5" l="1"/>
  <c r="H24" i="5"/>
  <c r="L24" i="5" s="1"/>
  <c r="C24" i="5"/>
  <c r="H23" i="5"/>
  <c r="L23" i="5" s="1"/>
  <c r="C23" i="5"/>
  <c r="L22" i="5"/>
  <c r="C22" i="5"/>
  <c r="H21" i="5"/>
  <c r="C21" i="5"/>
  <c r="L14" i="5"/>
  <c r="J14" i="5"/>
  <c r="F14" i="5"/>
  <c r="E14" i="5"/>
  <c r="M22" i="5" l="1"/>
  <c r="H14" i="5"/>
  <c r="C14" i="5" l="1"/>
  <c r="J25" i="5"/>
  <c r="H39" i="5"/>
  <c r="H40" i="5" l="1"/>
  <c r="L39" i="5"/>
  <c r="C39" i="5"/>
  <c r="C40" i="5" s="1"/>
  <c r="L40" i="5" l="1"/>
  <c r="M39" i="5"/>
  <c r="K36" i="5"/>
  <c r="H35" i="5"/>
  <c r="H36" i="5" s="1"/>
  <c r="F36" i="5"/>
  <c r="E36" i="5"/>
  <c r="F32" i="5"/>
  <c r="E32" i="5"/>
  <c r="L31" i="5"/>
  <c r="C31" i="5"/>
  <c r="C32" i="5" s="1"/>
  <c r="C36" i="5" l="1"/>
  <c r="L35" i="5"/>
  <c r="L36" i="5" s="1"/>
  <c r="M35" i="5" l="1"/>
  <c r="M36" i="5"/>
  <c r="H28" i="5"/>
  <c r="L21" i="5" l="1"/>
  <c r="L28" i="5"/>
  <c r="M24" i="5" l="1"/>
  <c r="M21" i="5"/>
  <c r="M23" i="5"/>
  <c r="L25" i="5" l="1"/>
  <c r="C28" i="5"/>
  <c r="M28" i="5" s="1"/>
  <c r="E18" i="5"/>
  <c r="F18" i="5"/>
  <c r="J18" i="5"/>
  <c r="J47" i="5" s="1"/>
  <c r="K18" i="5"/>
  <c r="C17" i="5"/>
  <c r="C18" i="5" s="1"/>
  <c r="H17" i="5"/>
  <c r="E25" i="5"/>
  <c r="F25" i="5"/>
  <c r="H25" i="5"/>
  <c r="K25" i="5"/>
  <c r="H29" i="5"/>
  <c r="L29" i="5"/>
  <c r="K29" i="5"/>
  <c r="I33" i="5"/>
  <c r="F29" i="5"/>
  <c r="E47" i="5" l="1"/>
  <c r="K47" i="5"/>
  <c r="F47" i="5"/>
  <c r="H18" i="5"/>
  <c r="H47" i="5" s="1"/>
  <c r="L17" i="5"/>
  <c r="L18" i="5" s="1"/>
  <c r="M18" i="5" s="1"/>
  <c r="F33" i="5"/>
  <c r="K33" i="5"/>
  <c r="J33" i="5"/>
  <c r="E33" i="5"/>
  <c r="C29" i="5"/>
  <c r="M29" i="5" s="1"/>
  <c r="L33" i="5"/>
  <c r="C25" i="5"/>
  <c r="C47" i="5" l="1"/>
  <c r="M17" i="5"/>
  <c r="L47" i="5"/>
  <c r="H33" i="5"/>
  <c r="M25" i="5"/>
  <c r="C33" i="5"/>
  <c r="M33" i="5" s="1"/>
  <c r="M14" i="5"/>
  <c r="M47" i="5" l="1"/>
  <c r="M40" i="5" l="1"/>
</calcChain>
</file>

<file path=xl/sharedStrings.xml><?xml version="1.0" encoding="utf-8"?>
<sst xmlns="http://schemas.openxmlformats.org/spreadsheetml/2006/main" count="96" uniqueCount="84">
  <si>
    <t>Отчет о ходе строительства и приобретения объектов</t>
  </si>
  <si>
    <t>включенных в перечень строек и объектов на текущий год и плановый период</t>
  </si>
  <si>
    <t>Наименование объекта</t>
  </si>
  <si>
    <t xml:space="preserve">Капитальные вложения на текущий год
(тыс.руб.)
</t>
  </si>
  <si>
    <t>Остаток межбюджетных трансфертов прошлых лет, подлежащие передаче в бюджет МО</t>
  </si>
  <si>
    <t>Выполнено работ (приобретено) на отчетную дату, всего за счёт всех источников (исполнение)</t>
  </si>
  <si>
    <t>Информация о проведении торгов, заключении контракта, соблюдении условий контракта подрядной организацией, причины низкого исполнения)</t>
  </si>
  <si>
    <t>ВСЕГО</t>
  </si>
  <si>
    <t>из бюджета автономного округа</t>
  </si>
  <si>
    <t xml:space="preserve">средств бюджета автономного округа </t>
  </si>
  <si>
    <t>1.</t>
  </si>
  <si>
    <t>1.1.</t>
  </si>
  <si>
    <t>Образовательно-культурный комплекс в д. Хулимсунт, Березовского района</t>
  </si>
  <si>
    <t>1.2.</t>
  </si>
  <si>
    <t>Итого по программе:</t>
  </si>
  <si>
    <t>2.</t>
  </si>
  <si>
    <t>4.</t>
  </si>
  <si>
    <t>ВСЕГО:</t>
  </si>
  <si>
    <t>Муниципальная программа "Развитие образования в Березовском районе"</t>
  </si>
  <si>
    <t>Муниципальная программа "Развитие жилищной сферы в Березовском районе»</t>
  </si>
  <si>
    <t>Средняя школа в пгт. Березово</t>
  </si>
  <si>
    <t>Муниципальная программа "Жилищно-коммунальный комплекс в Березовском районе"</t>
  </si>
  <si>
    <t>Реконструкция и расширение канализационных очистных сооружений до 2000 м3/сут. в пгт. Березово</t>
  </si>
  <si>
    <t>Подпрограмма "Обеспечение равных прав потребителей на получение коммунальных ресурсов"</t>
  </si>
  <si>
    <t>2.1.</t>
  </si>
  <si>
    <t xml:space="preserve">Приобретение жилья, выплата возмещения на изымаемую недвижимость </t>
  </si>
  <si>
    <t>4.1.</t>
  </si>
  <si>
    <t>3.</t>
  </si>
  <si>
    <t>3.1.</t>
  </si>
  <si>
    <t>из федерального бюджета</t>
  </si>
  <si>
    <t>Профинансировано МО в 2024 году  (кассовые расходы) за счёт:</t>
  </si>
  <si>
    <t>средств федерального бюджета</t>
  </si>
  <si>
    <t>из бюджета района</t>
  </si>
  <si>
    <t>средств бюджета района</t>
  </si>
  <si>
    <t xml:space="preserve"> </t>
  </si>
  <si>
    <t>Строительство водоочистных сооружений в п. Светлый</t>
  </si>
  <si>
    <t>Водоочистные сооружения в пгт. Березово</t>
  </si>
  <si>
    <t>Комплекс процессных мероприятий "Приобретение имущества в муниципальную собственность"</t>
  </si>
  <si>
    <t>Приобретение автоматизированой блочно-модульной котельной по адресу: ХМАО-Югра, Березовский район, пгт. Березово, ул. Молодежная, 23</t>
  </si>
  <si>
    <t>Муниципальная программа "Развитие физической культуры, спорта и молодежной политики в Березовском районе"</t>
  </si>
  <si>
    <t>Спортивный зал имени Руслана Проводникова в пгт. Березово</t>
  </si>
  <si>
    <t>Строительство канализационных очистных сооружений в с. Саранпауль (ПИР)</t>
  </si>
  <si>
    <t>3.2</t>
  </si>
  <si>
    <t>3.3</t>
  </si>
  <si>
    <t>3.4</t>
  </si>
  <si>
    <t>Муниципальная программа "Управление муниципальным имуществом в  Березовском районе"</t>
  </si>
  <si>
    <t>=I28+J28+K28</t>
  </si>
  <si>
    <t xml:space="preserve">Объект включен в государственную программу ХМАО-Югры «Строительство» утвержденную Постановлением Правительстьва ХМАО-Югры от 10.11.2023 № 561-п.
Стоимость объекта в гос.программе – 263 157,9 тыс.рублей.
Выполненные мероприятия по объекту:
- разработано техническое задание по объекту, 29.11.2023 г. согласовано Департаментом физической культуры и спорта автономного округа.
- в период с 23.11.2023 г. по 11.12.2023 г. получены технические условия на подключение объекта к сетям инженерно-технического обеспечения;
- 08.12.2023 г. подготовлен  в установленном порядке градостроительный план земельного участка  № РФ-86-4-01-0-00-2023-1485-0; 
- 12.12.2023 г. выполнен расчет стоимости объекта по укрупненным показателям НЦС-2023; 
- 05.02.2024 г. задание на проектирование согласовано АУ ХМАО-Югры «Управление государственной экспертизы проектной документации и ценооразования в строительстве»;
- 13.02.2024 г. получено сводное заключение Департамента строительства и ЖКК ХМАО-Югры (42-Исх-2209) о возможности размещения объекта, предлагаемого к строительству, на предложенном месте размещения (земельном участке);
- 25.03.2024 получено заключение Депэкономики Югры 22-Исх-2793  о проверке инвестиционного проекта на предмет эффективности
использования средств бюджета Ханты-Мансийского автономного
округа – Югры, направляемых на капитальные вложения,
- после утверждения задания на проектирование будет начата подготовка документации для проведения открытого аукциона на выполнение проектно-изыскательских (ПИР) и строительно-монтажных работ (СМР).
Необходима корректировка государственной программы  ХМАО-Югры «Строительство» в части периода реализации проекта в 2024 году.
Учитывая время необходимое для:
- заключения контракта на проведение проектно-изыскательских и строительно-монтажных работ;
- проведения проектно-изыскательских работ; 
- проведения проверки достоверности определения сметной стоимости;
- сложную транспортную схему доставки стройматериалов и сезонность доставки материалов;
период реализации проекта следует увеличить –  с 2024 по 2025 годы.
</t>
  </si>
  <si>
    <t>5.</t>
  </si>
  <si>
    <t>5.1.</t>
  </si>
  <si>
    <t>6.</t>
  </si>
  <si>
    <t>Комплекс процессных мероприятий "Реализация полномочий в области строительства и жилищных отношений"</t>
  </si>
  <si>
    <t>Комплекс процессных мероприятий "Проектирование и строительство пожарных водоемов"</t>
  </si>
  <si>
    <t>Региональный проект "Совеременная школа"</t>
  </si>
  <si>
    <t>Региональный проект "Укрепление материально-технической баз учреждений спорта"</t>
  </si>
  <si>
    <t>Муниципальная программа "Безопасность жизнедеятельности на территории Березовского района"</t>
  </si>
  <si>
    <t>Детский сад в пгт. Игрим</t>
  </si>
  <si>
    <t>1.3.</t>
  </si>
  <si>
    <t>8.</t>
  </si>
  <si>
    <t>Муниципальная прорамма "Культурное пространство Березовского района"</t>
  </si>
  <si>
    <t>8.1.</t>
  </si>
  <si>
    <t>% исполнения к кап. вложениям гр.12/(гр. 3+гр. 7)х100</t>
  </si>
  <si>
    <t>6.1.</t>
  </si>
  <si>
    <t>на 31.12.2024 года</t>
  </si>
  <si>
    <t>Строительство пожарных водоемов в п. Устрем, д. Пугоры, д. Шайтанка, д. Деминское (ПИР)</t>
  </si>
  <si>
    <t>7.</t>
  </si>
  <si>
    <t>Муниципальная программа "Современная транспортная система Березовского района"</t>
  </si>
  <si>
    <t>Реконструкция автодороги по ул. Чкалова с заменой участка газопровода низкого давления в  пгт. Березово (ПИР)</t>
  </si>
  <si>
    <t>7.1.</t>
  </si>
  <si>
    <t xml:space="preserve">Заключен муниципальный контракт № 38/24-Д от 15.03.2024 г. Оплата произведена польностью (13.09.2024 г.) </t>
  </si>
  <si>
    <t>Комплекс процессных мероприятий "Содействие развитию дополнительного образования"</t>
  </si>
  <si>
    <t>Заключены контракты: 15/24 от 05.08.2024 г. на выполнение проектных работ  и инженерных изысканий  по объектам: «Пожарный водоем в п. Устрем Березовского района»,16/24 от 05.08.2024 г. по объекту: «Пожарный водоем в д. Деминская Березовского района»,17/24 от 06.08.2024 г.  по объекту: «Пожарный водоем в д. Шайтанка Березовского района»,18/24 от 06.08.2024 г. по объекту: «Пожарный водоем в д. Пугоры Березовского района». Сроки исполнения работ  -17.11.2024 г.  Работы выполнены в полном объеме.</t>
  </si>
  <si>
    <t>Выполнены кадастровые работы по постановке земельного участка на кадастровый учет. Заключен договор безвозмездного пользования земельным участком, передан в МКУ "Управление капитального строительства и ремонта Березовского района". Финансирование на реализацию мероприятия в госпрограмме "Строительство" на 2026-2027 гг. (ПИР,СМР).</t>
  </si>
  <si>
    <t>Выполнены кадастровые работы по постановке земельного участка на кадастровый учет. Заключен договор безвозмездного пользования земельным участком, передан в МКУ "Управление капитального строительства и ремонта Березовского района". Финансирование на реализацию мероприятия в госпрограмме "Строительство" на 2025-2026 гг. (ПИР) 2026-2027 гг.(СМР).</t>
  </si>
  <si>
    <t>Заключен муниципальный контракт № 57/20 от 17.11.2020 г. на выполнение  проектно-изыскательских и строительно-монтажных работ по объекту с подрядной организацией ООО  ГК «Альянс», цена контракта  1 885 594,2 тыс.руб. Срок исполнения контракта  - 30.11.2024 г. Выплачен аванс в сумме 550 000,00 тыс.руб. (доп.соглашение № 8 от 07.12.2023 г.). Работы ведутся со значительным отставанием от графика производства работ. Ведется монтаж ж/б каракаса здания, возведение наружных и внутренних стен, установка окон и витражей , устройство монолитных участков и диафрагм жесткости , устройство фасада. Индивидуальный тепловой пункт смонтирован на 90 %, требуется проведение пуско-наладочных работ, готовность устройства полов в подвале-60%. Перераспределены лимиты средств с 2024 на 2024-2025, подрядчику наравлен проект дополнительного соглашения о продлении контракта. Планируемый срок ввода объекта в эксплуатацию -август 2025 г. 20 декабря 2024 г. заключено дополнительное соглашение № 9 о продлении срока муниципального контракта. Готовность объекта-30%.</t>
  </si>
  <si>
    <t>Заключен договор 16/09/24/Д от 02.10.2024 г.  с АУ ХМАО-Югры "Управление государственной экспертизы проектной документации и ценообразования в строительстве" на проведение повторной государственной экспертизы в части проверки достоверности сметной стоимости. Срок выполнения работ - 06.02.2025 г.</t>
  </si>
  <si>
    <t>Заключено 11 муниципальных контракта по приобретению жилых помещений на общую сумму 31 988,6 тыс. руб. Все жилые помещения переданы в порядке разграничения имущества Березовского района в муниципальную собственность гп. Березово для предоставления гражданам на условиях социального найма, при переселении из аварийного жилищного фонда. На основании решения Березовского районного суда выплачено двум гражданам возмещение на общую сумму 1 258,0 тыс. руб.</t>
  </si>
  <si>
    <r>
      <t xml:space="preserve">Заключен муниципальный контракт № 38/23  от 08.09.2023 г. на выполнение строительно-монтажных работ по объекту с подрядной организацией ООО «Корсэль» (г. Пермь), цена контракта 530 846,2 тыс. руб. В 2023 году выплачен аванс в размере 265 423,1  тыс.руб. (дополнительное соглашение № 2 от 24.11.2023 года).
</t>
    </r>
    <r>
      <rPr>
        <sz val="9"/>
        <color theme="1"/>
        <rFont val="Times New Roman"/>
        <family val="1"/>
        <charset val="204"/>
      </rPr>
      <t>Срок исполнения контракта - 18.11.2024 г</t>
    </r>
    <r>
      <rPr>
        <sz val="9"/>
        <color rgb="FFFF0000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 xml:space="preserve"> Работы ведутся со значительным отставанием от графика производства работ. ООО "Корсэль" ведет работы по наращиванию темпов строительства и ликвидации отставания от договорного графика работ. Завершено устройство плит пола в здании, устройство полов в сливной станции, выполнены: монтаж грузо-подъемного механизма, пуско-наладночные работы котельной, запуск контура отопления в здании, подача тепла на тепловентиляторы для поддержания теплового контура. Смонтирована электролиния и получено лабараторное заключение для перевода объекта на постоянное подключение к электричеству, начата сборка биореактора (1 шт).  Ориентировочный срок ввода в эксплуатацию - июнь 2025 г. Заключено дополнительное соглашение о продлении срока контракта (№ 5 от 18.11.2024 г.). Перераспределены лимиты средств с 2024 на 2024-2025 гг. в сумме 50 000,0 тыс. руб. В рамках экспертного сопровождения внесены все корректировки в проектную документацию, плановые сроки получения заключения экспертизы достоверности сметной стоимости - первая декада января 2025 г.  Готовность объекта 34%.</t>
    </r>
  </si>
  <si>
    <t>Заключен муниципальный контракт № 12/24 от 02.07.2024 г. с ООО «Спецстрой», г. Москва на выполнение проектно-изыскательских и строительно-монтажных работ. Цена контракта- 262 333,00 тыс.руб. Сроки ПИР - 17.11.2024 г., СМР - 17.11.2025 г. 30.09.2024 г. получено заключение историко-культурной экспертизы земельного участка № 116-24/Ч. Объект включен в государственную программу «Строительство», утвержденную Постановлением Правительства ХМАО-Югры от 10.11.2023 г. № 561-п..  
Выполнена подготовка площадки под строительство (вырубка зеленых насаждений).1 7.01.2025 г. с АУ ХМАО-Югры "Управление государственной экспертизы проектной документации и ценообразования в строительстве" заключен договор  на проведение государственной экспертизы в части проверки достоверности определения сметной стоиомости строительства, срок проведения 30 рабочих дней с правом продления не более 20 рабочих дней. ООО "Спецстрой" ведет подготовительные работы: запрос технических условий с ресурсоснабжающими компаниями, приобретение и доставка материалов согласно строительных процессов.</t>
  </si>
  <si>
    <t>Заключен муниципальный контракт № 14/22 от 10.06.2022 г. с ООО "Артпроектэксперт" г. Чебоксары на выполнение проектно-изыскательских работ по объекту, срок выполнения - 25.04.2023 г. Подрядной организацией отрабатываются замечания входного контроля экспертизы по оформлению комплектности документации. Заключен договор № 08/24 от 23.05.2024 г. с АУ ХМАО-Югры "Центр охраны культурного наследия" г. Ханты-Мансийск на выполнение работ по историко-культурной экспертизе. Работы по экспертизе выполнены в полном объеме.</t>
  </si>
  <si>
    <t>Мост деревянный на ряжах через овраг Култычный (вторая половинаXIX-XXвв.)</t>
  </si>
  <si>
    <t>Заключен муниципальный контракт № 32/19 от 22.07.2019 г. с ООО "Капиталстройинвест" г. Тюмень по сохранению объекта культурного наследия "Мост деревянный на ряжах через овраг Култычный" (вторая половина XIX-XX вв), пгт. Березово, ул. Собянина, между д. 34 и д. 36 (пешеходная зона ул. Собянина – бывшая ул. Базарная)", срок выполнения работ - 25.12.2019 г.
Выполненные работы оплачены по решению Арбитражного Суда Ханты-Мансийского автономного округа - Югры от 22.08.2024 г.</t>
  </si>
  <si>
    <t xml:space="preserve">Заключен муниципальный контракт № 35-23 от 10.07.2023 г. с ООО "Проектстройсервис" на выполнение проектно-изыскательских работ по объекту, срок контракта продлен до 21.06.2025 г. Проведены инженерные изыскания, разработаны 5 разделов проектной документации. Проектная документация направлена на государственную экспертизу в АУ ХМАО-Югры "Управленние государственной эксперитизы проектной документации и ценообразования в строительстве" . Срок получения заключения - 06.02.2025 г. 
</t>
  </si>
  <si>
    <t xml:space="preserve">Заключен муниципальный контракт № 13/24 от 23.07.2024 г. на выполнение работ по строительству объекта с  ООО "Спецстрой" (г.Москва). Цена контракта 163 384,9 тыс.руб. Выплачен аванс в размере 49 015,4 тыс.руб.Заключено дополнительное соглашение о продлении  сроков муниципального контракта (доп.соглашение № 2 от 07.11.2024). На объекте задействовано 46 человек, в том числе 1  ИТР, 5 единиц техники. Ведутся внутренние отделочные работы; устройство инженерных систем вентиляции, в том числе подключение вентиляционных машин в подвале здания; внутренние электротехнические мероприятия. Срок ввода в эксплуатацию I этапа строительства (здание ОКК, наружные инженерные сети, противопожарный круговой проезд) - март 2025 г.Срок окончания работ по контракту с учетом продления (второй этап) - 15.07.2025 года.(с учетом приемки и оплаты - 21.08.2025 г).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</si>
</sst>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</font>
    <font>
      <sz val="10"/>
      <name val="Arial Cyr"/>
      <charset val="204"/>
    </font>
    <font>
      <b/>
      <u/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imes New Roman Cyr"/>
      <family val="1"/>
      <charset val="204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164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1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164" fontId="11" fillId="0" borderId="0" xfId="0" applyNumberFormat="1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3" fillId="2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horizontal="left" vertical="center" wrapText="1" shrinkToFit="1"/>
    </xf>
    <xf numFmtId="164" fontId="1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Fill="1" applyBorder="1" applyAlignment="1">
      <alignment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4" fontId="19" fillId="0" borderId="6" xfId="0" applyNumberFormat="1" applyFont="1" applyFill="1" applyBorder="1" applyAlignment="1">
      <alignment horizontal="center" vertical="center" wrapText="1"/>
    </xf>
    <xf numFmtId="165" fontId="21" fillId="0" borderId="6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164" fontId="19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2" fillId="0" borderId="0" xfId="0" applyFont="1" applyFill="1"/>
    <xf numFmtId="164" fontId="22" fillId="0" borderId="0" xfId="0" applyNumberFormat="1" applyFont="1" applyFill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left" vertical="center" wrapText="1"/>
    </xf>
    <xf numFmtId="164" fontId="12" fillId="0" borderId="6" xfId="0" applyNumberFormat="1" applyFont="1" applyFill="1" applyBorder="1" applyAlignment="1">
      <alignment horizontal="left" vertical="center" wrapText="1"/>
    </xf>
    <xf numFmtId="164" fontId="12" fillId="0" borderId="7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3" fillId="0" borderId="6" xfId="0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horizontal="left" vertical="center"/>
    </xf>
    <xf numFmtId="164" fontId="25" fillId="0" borderId="5" xfId="0" applyNumberFormat="1" applyFont="1" applyFill="1" applyBorder="1" applyAlignment="1">
      <alignment horizontal="left" vertical="center" shrinkToFit="1"/>
    </xf>
    <xf numFmtId="0" fontId="26" fillId="0" borderId="6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12" fillId="0" borderId="6" xfId="0" applyFont="1" applyFill="1" applyBorder="1" applyAlignment="1">
      <alignment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0" zoomScaleNormal="90" workbookViewId="0">
      <selection activeCell="B49" sqref="B49"/>
    </sheetView>
  </sheetViews>
  <sheetFormatPr defaultColWidth="8.85546875" defaultRowHeight="15" x14ac:dyDescent="0.25"/>
  <cols>
    <col min="1" max="1" width="4.42578125" style="1" customWidth="1"/>
    <col min="2" max="2" width="26.28515625" style="1" customWidth="1"/>
    <col min="3" max="4" width="12.42578125" style="52" customWidth="1"/>
    <col min="5" max="5" width="10.85546875" style="52" customWidth="1"/>
    <col min="6" max="6" width="11.140625" style="52" customWidth="1"/>
    <col min="7" max="7" width="11.140625" style="4" customWidth="1"/>
    <col min="8" max="8" width="10.140625" style="13" customWidth="1"/>
    <col min="9" max="9" width="10.140625" style="1" customWidth="1"/>
    <col min="10" max="11" width="10.5703125" style="13" customWidth="1"/>
    <col min="12" max="12" width="13.140625" style="1" customWidth="1"/>
    <col min="13" max="13" width="11.42578125" style="1" customWidth="1"/>
    <col min="14" max="14" width="88.7109375" style="1" customWidth="1"/>
    <col min="15" max="16" width="8.85546875" style="1"/>
    <col min="17" max="17" width="9.5703125" style="1" bestFit="1" customWidth="1"/>
    <col min="18" max="16384" width="8.85546875" style="1"/>
  </cols>
  <sheetData>
    <row r="1" spans="1:14" ht="15.95" customHeight="1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" customHeight="1" x14ac:dyDescent="0.3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6.5" hidden="1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1:14" ht="17.45" customHeight="1" x14ac:dyDescent="0.3">
      <c r="A4" s="116" t="s">
        <v>63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4" ht="63.6" customHeight="1" x14ac:dyDescent="0.25">
      <c r="A5" s="123"/>
      <c r="B5" s="122" t="s">
        <v>2</v>
      </c>
      <c r="C5" s="124" t="s">
        <v>3</v>
      </c>
      <c r="D5" s="124"/>
      <c r="E5" s="124"/>
      <c r="F5" s="124"/>
      <c r="G5" s="117" t="s">
        <v>4</v>
      </c>
      <c r="H5" s="119" t="s">
        <v>30</v>
      </c>
      <c r="I5" s="119"/>
      <c r="J5" s="119"/>
      <c r="K5" s="119"/>
      <c r="L5" s="120" t="s">
        <v>5</v>
      </c>
      <c r="M5" s="120" t="s">
        <v>61</v>
      </c>
      <c r="N5" s="117" t="s">
        <v>6</v>
      </c>
    </row>
    <row r="6" spans="1:14" ht="90.75" customHeight="1" x14ac:dyDescent="0.25">
      <c r="A6" s="123"/>
      <c r="B6" s="122"/>
      <c r="C6" s="37" t="s">
        <v>7</v>
      </c>
      <c r="D6" s="55" t="s">
        <v>29</v>
      </c>
      <c r="E6" s="51" t="s">
        <v>8</v>
      </c>
      <c r="F6" s="51" t="s">
        <v>32</v>
      </c>
      <c r="G6" s="118"/>
      <c r="H6" s="37" t="s">
        <v>7</v>
      </c>
      <c r="I6" s="15" t="s">
        <v>31</v>
      </c>
      <c r="J6" s="50" t="s">
        <v>9</v>
      </c>
      <c r="K6" s="50" t="s">
        <v>33</v>
      </c>
      <c r="L6" s="121"/>
      <c r="M6" s="121"/>
      <c r="N6" s="118"/>
    </row>
    <row r="7" spans="1:14" ht="17.45" customHeight="1" x14ac:dyDescent="0.25">
      <c r="A7" s="12">
        <v>1</v>
      </c>
      <c r="B7" s="11">
        <v>2</v>
      </c>
      <c r="C7" s="37">
        <v>3</v>
      </c>
      <c r="D7" s="37">
        <v>4</v>
      </c>
      <c r="E7" s="51">
        <v>5</v>
      </c>
      <c r="F7" s="51">
        <v>6</v>
      </c>
      <c r="G7" s="8">
        <v>7</v>
      </c>
      <c r="H7" s="37">
        <v>8</v>
      </c>
      <c r="I7" s="9">
        <v>9</v>
      </c>
      <c r="J7" s="50">
        <v>10</v>
      </c>
      <c r="K7" s="50">
        <v>11</v>
      </c>
      <c r="L7" s="10">
        <v>12</v>
      </c>
      <c r="M7" s="10">
        <v>13</v>
      </c>
      <c r="N7" s="8">
        <v>14</v>
      </c>
    </row>
    <row r="8" spans="1:14" s="3" customFormat="1" ht="15.75" customHeight="1" x14ac:dyDescent="0.25">
      <c r="A8" s="2" t="s">
        <v>10</v>
      </c>
      <c r="B8" s="128" t="s">
        <v>18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</row>
    <row r="9" spans="1:14" s="3" customFormat="1" ht="13.5" customHeight="1" x14ac:dyDescent="0.25">
      <c r="A9" s="2"/>
      <c r="B9" s="134" t="s">
        <v>53</v>
      </c>
      <c r="C9" s="135"/>
      <c r="D9" s="135"/>
      <c r="E9" s="135"/>
      <c r="F9" s="135"/>
      <c r="G9" s="135"/>
      <c r="H9" s="136"/>
      <c r="I9" s="86"/>
      <c r="J9" s="86"/>
      <c r="K9" s="86"/>
      <c r="L9" s="86"/>
      <c r="M9" s="86"/>
      <c r="N9" s="86"/>
    </row>
    <row r="10" spans="1:14" s="69" customFormat="1" ht="99.75" customHeight="1" x14ac:dyDescent="0.25">
      <c r="A10" s="66" t="s">
        <v>11</v>
      </c>
      <c r="B10" s="38" t="s">
        <v>12</v>
      </c>
      <c r="C10" s="42">
        <f>E10+F10</f>
        <v>163984.88999999998</v>
      </c>
      <c r="D10" s="42">
        <v>0</v>
      </c>
      <c r="E10" s="90">
        <v>147046.39999999999</v>
      </c>
      <c r="F10" s="90">
        <f>16338.49+600</f>
        <v>16938.489999999998</v>
      </c>
      <c r="G10" s="42">
        <v>0</v>
      </c>
      <c r="H10" s="90">
        <f>I10+J10+K10</f>
        <v>100225.31122999999</v>
      </c>
      <c r="I10" s="90">
        <v>0</v>
      </c>
      <c r="J10" s="90">
        <v>89662.78</v>
      </c>
      <c r="K10" s="90">
        <f>9962.53123+600</f>
        <v>10562.531230000001</v>
      </c>
      <c r="L10" s="95">
        <f>72299.8+600</f>
        <v>72899.8</v>
      </c>
      <c r="M10" s="90">
        <f>L10/(C10+G10)*100</f>
        <v>44.455193402270176</v>
      </c>
      <c r="N10" s="108" t="s">
        <v>83</v>
      </c>
    </row>
    <row r="11" spans="1:14" s="69" customFormat="1" ht="121.5" customHeight="1" x14ac:dyDescent="0.25">
      <c r="A11" s="66" t="s">
        <v>13</v>
      </c>
      <c r="B11" s="39" t="s">
        <v>20</v>
      </c>
      <c r="C11" s="42">
        <f>E11+F11</f>
        <v>455519.22222</v>
      </c>
      <c r="D11" s="42">
        <v>0</v>
      </c>
      <c r="E11" s="90">
        <v>409967.3</v>
      </c>
      <c r="F11" s="42">
        <v>45551.92222</v>
      </c>
      <c r="G11" s="42">
        <v>0</v>
      </c>
      <c r="H11" s="90">
        <f>I11+J11+K11</f>
        <v>219843.41511</v>
      </c>
      <c r="I11" s="90">
        <v>0</v>
      </c>
      <c r="J11" s="90">
        <v>197859.07355999999</v>
      </c>
      <c r="K11" s="90">
        <v>21984.341550000001</v>
      </c>
      <c r="L11" s="95">
        <v>314062.02</v>
      </c>
      <c r="M11" s="95">
        <f>L11/(C11+G11)*100</f>
        <v>68.94594227426893</v>
      </c>
      <c r="N11" s="109" t="s">
        <v>74</v>
      </c>
    </row>
    <row r="12" spans="1:14" s="69" customFormat="1" ht="12" customHeight="1" x14ac:dyDescent="0.25">
      <c r="A12" s="66"/>
      <c r="B12" s="139" t="s">
        <v>70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1"/>
    </row>
    <row r="13" spans="1:14" s="69" customFormat="1" ht="38.25" customHeight="1" x14ac:dyDescent="0.25">
      <c r="A13" s="66" t="s">
        <v>57</v>
      </c>
      <c r="B13" s="39" t="s">
        <v>56</v>
      </c>
      <c r="C13" s="42">
        <f>E13+F13</f>
        <v>77.026799999999994</v>
      </c>
      <c r="D13" s="42">
        <v>0</v>
      </c>
      <c r="E13" s="90">
        <v>0</v>
      </c>
      <c r="F13" s="42">
        <v>77.026799999999994</v>
      </c>
      <c r="G13" s="42">
        <v>0</v>
      </c>
      <c r="H13" s="90">
        <f>I13+J13+K13</f>
        <v>77.026799999999994</v>
      </c>
      <c r="I13" s="90">
        <v>0</v>
      </c>
      <c r="J13" s="90">
        <v>0</v>
      </c>
      <c r="K13" s="90">
        <v>77.026799999999994</v>
      </c>
      <c r="L13" s="95">
        <f>H13</f>
        <v>77.026799999999994</v>
      </c>
      <c r="M13" s="97">
        <f>L13/(C13+G13)*100</f>
        <v>100</v>
      </c>
      <c r="N13" s="96" t="s">
        <v>75</v>
      </c>
    </row>
    <row r="14" spans="1:14" s="70" customFormat="1" ht="17.25" customHeight="1" x14ac:dyDescent="0.25">
      <c r="A14" s="66"/>
      <c r="B14" s="18" t="s">
        <v>14</v>
      </c>
      <c r="C14" s="17">
        <f>SUM(C10:C13)</f>
        <v>619581.13902</v>
      </c>
      <c r="D14" s="17">
        <v>0</v>
      </c>
      <c r="E14" s="17">
        <f>SUM(E10:E13)</f>
        <v>557013.69999999995</v>
      </c>
      <c r="F14" s="17">
        <f>SUM(F10:F13)</f>
        <v>62567.439019999998</v>
      </c>
      <c r="G14" s="17">
        <v>0</v>
      </c>
      <c r="H14" s="7">
        <f>SUM(H10:H13)</f>
        <v>320145.75313999999</v>
      </c>
      <c r="I14" s="17">
        <v>0</v>
      </c>
      <c r="J14" s="17">
        <f>SUM(J10:J13)</f>
        <v>287521.85355999996</v>
      </c>
      <c r="K14" s="17">
        <f>SUM(K10:K13)</f>
        <v>32623.899580000001</v>
      </c>
      <c r="L14" s="17">
        <f>SUM(L10:L13)</f>
        <v>387038.8468</v>
      </c>
      <c r="M14" s="7">
        <f>L14/(C14+G14)*100</f>
        <v>62.467822602247814</v>
      </c>
      <c r="N14" s="19"/>
    </row>
    <row r="15" spans="1:14" s="70" customFormat="1" ht="15.75" customHeight="1" x14ac:dyDescent="0.25">
      <c r="A15" s="32" t="s">
        <v>15</v>
      </c>
      <c r="B15" s="125" t="s">
        <v>19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7"/>
    </row>
    <row r="16" spans="1:14" s="71" customFormat="1" ht="15.75" customHeight="1" x14ac:dyDescent="0.25">
      <c r="A16" s="32"/>
      <c r="B16" s="125" t="s">
        <v>51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7"/>
    </row>
    <row r="17" spans="1:22" s="72" customFormat="1" ht="63.75" customHeight="1" x14ac:dyDescent="0.25">
      <c r="A17" s="40" t="s">
        <v>24</v>
      </c>
      <c r="B17" s="53" t="s">
        <v>25</v>
      </c>
      <c r="C17" s="67">
        <f>E17+F17</f>
        <v>33313.217899999996</v>
      </c>
      <c r="D17" s="67"/>
      <c r="E17" s="67">
        <v>32249.291359999999</v>
      </c>
      <c r="F17" s="67">
        <v>1063.9265399999999</v>
      </c>
      <c r="G17" s="67"/>
      <c r="H17" s="68">
        <f>I17+J17+K17</f>
        <v>33246.6</v>
      </c>
      <c r="I17" s="67"/>
      <c r="J17" s="67">
        <v>32249.202000000001</v>
      </c>
      <c r="K17" s="67">
        <v>997.39800000000002</v>
      </c>
      <c r="L17" s="67">
        <f>H17</f>
        <v>33246.6</v>
      </c>
      <c r="M17" s="68">
        <f>L17/(C17+G17)*100</f>
        <v>99.800025622862449</v>
      </c>
      <c r="N17" s="30" t="s">
        <v>76</v>
      </c>
    </row>
    <row r="18" spans="1:22" s="14" customFormat="1" ht="15" customHeight="1" x14ac:dyDescent="0.25">
      <c r="A18" s="41"/>
      <c r="B18" s="18" t="s">
        <v>14</v>
      </c>
      <c r="C18" s="17">
        <f t="shared" ref="C18:L18" si="0">SUM(C17:C17)</f>
        <v>33313.217899999996</v>
      </c>
      <c r="D18" s="17">
        <v>0</v>
      </c>
      <c r="E18" s="17">
        <f t="shared" si="0"/>
        <v>32249.291359999999</v>
      </c>
      <c r="F18" s="17">
        <f t="shared" si="0"/>
        <v>1063.9265399999999</v>
      </c>
      <c r="G18" s="17">
        <v>0</v>
      </c>
      <c r="H18" s="17">
        <f t="shared" si="0"/>
        <v>33246.6</v>
      </c>
      <c r="I18" s="17">
        <v>0</v>
      </c>
      <c r="J18" s="17">
        <f t="shared" si="0"/>
        <v>32249.202000000001</v>
      </c>
      <c r="K18" s="17">
        <f t="shared" si="0"/>
        <v>997.39800000000002</v>
      </c>
      <c r="L18" s="17">
        <f t="shared" si="0"/>
        <v>33246.6</v>
      </c>
      <c r="M18" s="7">
        <f>L18/(C18+G18)*100</f>
        <v>99.800025622862449</v>
      </c>
      <c r="N18" s="17"/>
    </row>
    <row r="19" spans="1:22" s="14" customFormat="1" ht="15" customHeight="1" x14ac:dyDescent="0.25">
      <c r="A19" s="33" t="s">
        <v>27</v>
      </c>
      <c r="B19" s="125" t="s">
        <v>21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7"/>
      <c r="Q19" s="20"/>
    </row>
    <row r="20" spans="1:22" s="14" customFormat="1" ht="12.75" customHeight="1" x14ac:dyDescent="0.25">
      <c r="A20" s="33"/>
      <c r="B20" s="125" t="s">
        <v>23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7"/>
      <c r="Q20" s="20"/>
    </row>
    <row r="21" spans="1:22" s="70" customFormat="1" ht="166.5" customHeight="1" x14ac:dyDescent="0.25">
      <c r="A21" s="33" t="s">
        <v>28</v>
      </c>
      <c r="B21" s="30" t="s">
        <v>22</v>
      </c>
      <c r="C21" s="42">
        <f>D21+E21+F21</f>
        <v>219330.05674</v>
      </c>
      <c r="D21" s="42"/>
      <c r="E21" s="42">
        <v>203329.5</v>
      </c>
      <c r="F21" s="42">
        <v>16000.55674</v>
      </c>
      <c r="G21" s="42">
        <v>0</v>
      </c>
      <c r="H21" s="42">
        <f>I21+J21+K21</f>
        <v>59634.641440000007</v>
      </c>
      <c r="I21" s="42">
        <v>0</v>
      </c>
      <c r="J21" s="42">
        <v>51619.361040000003</v>
      </c>
      <c r="K21" s="42">
        <f>8015.2804</f>
        <v>8015.2803999999996</v>
      </c>
      <c r="L21" s="67">
        <f>H21</f>
        <v>59634.641440000007</v>
      </c>
      <c r="M21" s="68">
        <f>L21/(C21+G21)*100</f>
        <v>27.189452429081612</v>
      </c>
      <c r="N21" s="107" t="s">
        <v>77</v>
      </c>
      <c r="Q21" s="73"/>
    </row>
    <row r="22" spans="1:22" s="70" customFormat="1" ht="59.25" customHeight="1" x14ac:dyDescent="0.25">
      <c r="A22" s="33" t="s">
        <v>42</v>
      </c>
      <c r="B22" s="30" t="s">
        <v>41</v>
      </c>
      <c r="C22" s="42">
        <f>E22+F22</f>
        <v>5145.5762500000001</v>
      </c>
      <c r="D22" s="42" t="s">
        <v>34</v>
      </c>
      <c r="E22" s="42"/>
      <c r="F22" s="42">
        <v>5145.5762500000001</v>
      </c>
      <c r="G22" s="42"/>
      <c r="H22" s="42">
        <v>80.3</v>
      </c>
      <c r="I22" s="42"/>
      <c r="J22" s="42"/>
      <c r="K22" s="42">
        <v>80.3</v>
      </c>
      <c r="L22" s="42">
        <f>H22</f>
        <v>80.3</v>
      </c>
      <c r="M22" s="68">
        <f>L22/(C22+G22)*100</f>
        <v>1.560563794968542</v>
      </c>
      <c r="N22" s="107" t="s">
        <v>82</v>
      </c>
      <c r="Q22" s="73"/>
    </row>
    <row r="23" spans="1:22" s="70" customFormat="1" ht="62.25" customHeight="1" x14ac:dyDescent="0.25">
      <c r="A23" s="33" t="s">
        <v>43</v>
      </c>
      <c r="B23" s="30" t="s">
        <v>35</v>
      </c>
      <c r="C23" s="42">
        <f>D23+E23+F23</f>
        <v>25</v>
      </c>
      <c r="D23" s="42"/>
      <c r="E23" s="42"/>
      <c r="F23" s="42">
        <v>25</v>
      </c>
      <c r="G23" s="42"/>
      <c r="H23" s="42">
        <f>I23+J23+K23</f>
        <v>25</v>
      </c>
      <c r="I23" s="42"/>
      <c r="J23" s="42"/>
      <c r="K23" s="42">
        <v>25</v>
      </c>
      <c r="L23" s="42">
        <f>H23</f>
        <v>25</v>
      </c>
      <c r="M23" s="68">
        <f>L23/(C23+G23)*100</f>
        <v>100</v>
      </c>
      <c r="N23" s="53" t="s">
        <v>72</v>
      </c>
      <c r="Q23" s="73"/>
    </row>
    <row r="24" spans="1:22" s="70" customFormat="1" ht="53.25" customHeight="1" x14ac:dyDescent="0.25">
      <c r="A24" s="33" t="s">
        <v>44</v>
      </c>
      <c r="B24" s="30" t="s">
        <v>36</v>
      </c>
      <c r="C24" s="42">
        <f>D24+E24+F24</f>
        <v>30</v>
      </c>
      <c r="D24" s="42"/>
      <c r="E24" s="42"/>
      <c r="F24" s="42">
        <v>30</v>
      </c>
      <c r="G24" s="90"/>
      <c r="H24" s="42">
        <f>I24+J24+K24</f>
        <v>30</v>
      </c>
      <c r="I24" s="90"/>
      <c r="J24" s="90"/>
      <c r="K24" s="42">
        <v>30</v>
      </c>
      <c r="L24" s="42">
        <f>H24</f>
        <v>30</v>
      </c>
      <c r="M24" s="68">
        <f>L24/(C24+G24)*100</f>
        <v>100</v>
      </c>
      <c r="N24" s="53" t="s">
        <v>73</v>
      </c>
      <c r="Q24" s="73"/>
    </row>
    <row r="25" spans="1:22" s="14" customFormat="1" ht="13.5" customHeight="1" x14ac:dyDescent="0.25">
      <c r="A25" s="43"/>
      <c r="B25" s="27" t="s">
        <v>14</v>
      </c>
      <c r="C25" s="26">
        <f>SUM(C21:C24)</f>
        <v>224530.63299000001</v>
      </c>
      <c r="D25" s="26">
        <v>0</v>
      </c>
      <c r="E25" s="26">
        <f t="shared" ref="E25:L25" si="1">SUM(E21:E24)</f>
        <v>203329.5</v>
      </c>
      <c r="F25" s="26">
        <f t="shared" si="1"/>
        <v>21201.132989999998</v>
      </c>
      <c r="G25" s="26">
        <v>0</v>
      </c>
      <c r="H25" s="26">
        <f t="shared" si="1"/>
        <v>59769.94144000001</v>
      </c>
      <c r="I25" s="26">
        <v>0</v>
      </c>
      <c r="J25" s="26">
        <f>SUM(J21:J24)</f>
        <v>51619.361040000003</v>
      </c>
      <c r="K25" s="26">
        <f t="shared" si="1"/>
        <v>8150.5803999999998</v>
      </c>
      <c r="L25" s="26">
        <f t="shared" si="1"/>
        <v>59769.94144000001</v>
      </c>
      <c r="M25" s="31">
        <f>L25/(C25+G25)*100</f>
        <v>26.619949645205875</v>
      </c>
      <c r="N25" s="44"/>
      <c r="Q25" s="20"/>
    </row>
    <row r="26" spans="1:22" s="14" customFormat="1" ht="12.75" customHeight="1" x14ac:dyDescent="0.25">
      <c r="A26" s="45" t="s">
        <v>16</v>
      </c>
      <c r="B26" s="110" t="s">
        <v>45</v>
      </c>
      <c r="C26" s="137"/>
      <c r="D26" s="137"/>
      <c r="E26" s="137"/>
      <c r="F26" s="137"/>
      <c r="G26" s="137"/>
      <c r="H26" s="137"/>
      <c r="I26" s="137"/>
      <c r="J26" s="94"/>
      <c r="K26" s="54"/>
      <c r="L26" s="21"/>
      <c r="M26" s="21"/>
      <c r="N26" s="22"/>
      <c r="O26" s="23"/>
      <c r="P26" s="23"/>
      <c r="Q26" s="23"/>
      <c r="R26" s="23"/>
      <c r="S26" s="23"/>
      <c r="T26" s="23"/>
      <c r="U26" s="23"/>
      <c r="V26" s="24"/>
    </row>
    <row r="27" spans="1:22" s="14" customFormat="1" ht="12.75" customHeight="1" x14ac:dyDescent="0.25">
      <c r="A27" s="110" t="s">
        <v>37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2"/>
      <c r="O27" s="23"/>
      <c r="P27" s="23"/>
      <c r="Q27" s="23"/>
      <c r="R27" s="23"/>
      <c r="S27" s="23"/>
      <c r="T27" s="23"/>
      <c r="U27" s="23"/>
      <c r="V27" s="24"/>
    </row>
    <row r="28" spans="1:22" s="69" customFormat="1" ht="72" customHeight="1" x14ac:dyDescent="0.25">
      <c r="A28" s="46" t="s">
        <v>26</v>
      </c>
      <c r="B28" s="98" t="s">
        <v>38</v>
      </c>
      <c r="C28" s="67">
        <f>E28+F28</f>
        <v>15680</v>
      </c>
      <c r="D28" s="67"/>
      <c r="E28" s="67"/>
      <c r="F28" s="67">
        <v>15680</v>
      </c>
      <c r="G28" s="74"/>
      <c r="H28" s="67">
        <f>I28+J28+K28</f>
        <v>15680</v>
      </c>
      <c r="I28" s="75"/>
      <c r="J28" s="74"/>
      <c r="K28" s="67">
        <v>15680</v>
      </c>
      <c r="L28" s="67">
        <f>H28</f>
        <v>15680</v>
      </c>
      <c r="M28" s="67">
        <f>L28/(C28+G28)*100</f>
        <v>100</v>
      </c>
      <c r="N28" s="30" t="s">
        <v>69</v>
      </c>
      <c r="O28" s="76"/>
      <c r="P28" s="76"/>
      <c r="Q28" s="76"/>
      <c r="R28" s="76"/>
      <c r="S28" s="76"/>
      <c r="T28" s="76"/>
      <c r="U28" s="76"/>
      <c r="V28" s="77"/>
    </row>
    <row r="29" spans="1:22" s="29" customFormat="1" ht="13.5" customHeight="1" x14ac:dyDescent="0.25">
      <c r="A29" s="47"/>
      <c r="B29" s="48" t="s">
        <v>14</v>
      </c>
      <c r="C29" s="34">
        <f>SUM(C28)</f>
        <v>15680</v>
      </c>
      <c r="D29" s="34">
        <v>0</v>
      </c>
      <c r="E29" s="34">
        <v>0</v>
      </c>
      <c r="F29" s="34">
        <f>SUM(F28:F28)</f>
        <v>15680</v>
      </c>
      <c r="G29" s="34">
        <v>0</v>
      </c>
      <c r="H29" s="34">
        <f>SUM(H28)</f>
        <v>15680</v>
      </c>
      <c r="I29" s="35">
        <v>0</v>
      </c>
      <c r="J29" s="36">
        <v>0</v>
      </c>
      <c r="K29" s="36">
        <f>SUM(K28:K28)</f>
        <v>15680</v>
      </c>
      <c r="L29" s="36">
        <f>SUM(L28:L28)</f>
        <v>15680</v>
      </c>
      <c r="M29" s="36">
        <f>L29/(C29+G29)*100</f>
        <v>100</v>
      </c>
      <c r="N29" s="49"/>
      <c r="O29" s="25"/>
      <c r="P29" s="25"/>
      <c r="Q29" s="28"/>
      <c r="R29" s="28"/>
      <c r="S29" s="28"/>
      <c r="T29" s="25"/>
      <c r="U29" s="25"/>
      <c r="V29" s="25"/>
    </row>
    <row r="30" spans="1:22" s="29" customFormat="1" ht="18.75" customHeight="1" x14ac:dyDescent="0.25">
      <c r="A30" s="56" t="s">
        <v>48</v>
      </c>
      <c r="B30" s="110" t="s">
        <v>39</v>
      </c>
      <c r="C30" s="142"/>
      <c r="D30" s="142"/>
      <c r="E30" s="142"/>
      <c r="F30" s="142"/>
      <c r="G30" s="142"/>
      <c r="H30" s="142"/>
      <c r="I30" s="111"/>
      <c r="J30" s="111"/>
      <c r="K30" s="111"/>
      <c r="L30" s="111"/>
      <c r="M30" s="111"/>
      <c r="N30" s="112"/>
      <c r="O30" s="25"/>
      <c r="P30" s="25"/>
      <c r="Q30" s="28"/>
      <c r="R30" s="28"/>
      <c r="S30" s="28"/>
      <c r="T30" s="25"/>
      <c r="U30" s="25"/>
      <c r="V30" s="25"/>
    </row>
    <row r="31" spans="1:22" s="29" customFormat="1" ht="99" hidden="1" customHeight="1" x14ac:dyDescent="0.25">
      <c r="A31" s="56" t="s">
        <v>26</v>
      </c>
      <c r="B31" s="57" t="s">
        <v>40</v>
      </c>
      <c r="C31" s="54">
        <f>D31+E31+F31</f>
        <v>265495.09999999998</v>
      </c>
      <c r="D31" s="21"/>
      <c r="E31" s="58">
        <v>250000</v>
      </c>
      <c r="F31" s="58">
        <v>15495.1</v>
      </c>
      <c r="G31" s="59"/>
      <c r="H31" s="84" t="s">
        <v>46</v>
      </c>
      <c r="I31" s="35"/>
      <c r="J31" s="36"/>
      <c r="K31" s="42">
        <v>1869.7</v>
      </c>
      <c r="L31" s="36" t="str">
        <f>H31</f>
        <v>=I28+J28+K28</v>
      </c>
      <c r="M31" s="36"/>
      <c r="N31" s="79" t="s">
        <v>47</v>
      </c>
      <c r="O31" s="25"/>
      <c r="P31" s="25"/>
      <c r="Q31" s="28"/>
      <c r="R31" s="28"/>
      <c r="S31" s="28"/>
      <c r="T31" s="25"/>
      <c r="U31" s="25"/>
      <c r="V31" s="25"/>
    </row>
    <row r="32" spans="1:22" ht="64.5" hidden="1" customHeight="1" x14ac:dyDescent="0.25">
      <c r="A32" s="60"/>
      <c r="B32" s="64" t="s">
        <v>14</v>
      </c>
      <c r="C32" s="65">
        <f>SUM(C31)</f>
        <v>265495.09999999998</v>
      </c>
      <c r="D32" s="61"/>
      <c r="E32" s="61">
        <f>SUM(E31)</f>
        <v>250000</v>
      </c>
      <c r="F32" s="62">
        <f>SUM(F31)</f>
        <v>15495.1</v>
      </c>
      <c r="G32" s="63"/>
      <c r="H32" s="85"/>
      <c r="I32" s="35"/>
      <c r="J32" s="36"/>
      <c r="K32" s="36"/>
      <c r="L32" s="36"/>
      <c r="M32" s="36"/>
      <c r="N32" s="49"/>
    </row>
    <row r="33" spans="1:14" hidden="1" x14ac:dyDescent="0.25">
      <c r="A33" s="16"/>
      <c r="B33" s="5" t="s">
        <v>17</v>
      </c>
      <c r="C33" s="7">
        <f>C14+C18+C25+C29+C32</f>
        <v>1158600.0899100001</v>
      </c>
      <c r="D33" s="7"/>
      <c r="E33" s="7">
        <f>E14+E18+E25+E29+F32</f>
        <v>808087.59135999996</v>
      </c>
      <c r="F33" s="7">
        <f>F14+F18+F25+F29</f>
        <v>100512.49854999999</v>
      </c>
      <c r="G33" s="31">
        <v>0</v>
      </c>
      <c r="H33" s="31">
        <f>H14+H18+H25+H29</f>
        <v>428842.29457999999</v>
      </c>
      <c r="I33" s="31">
        <f>SUM(I14+I18+I25+I29)</f>
        <v>0</v>
      </c>
      <c r="J33" s="31">
        <f>J14+J18+J25+J29</f>
        <v>371390.41659999994</v>
      </c>
      <c r="K33" s="31">
        <f>K14+K18+K25+K29</f>
        <v>57451.877979999997</v>
      </c>
      <c r="L33" s="31">
        <f>L14+L18+L25+L29</f>
        <v>495735.38824</v>
      </c>
      <c r="M33" s="7">
        <f>L33/(C33+G33)*100</f>
        <v>42.787446035716144</v>
      </c>
      <c r="N33" s="6"/>
    </row>
    <row r="34" spans="1:14" ht="11.25" customHeight="1" x14ac:dyDescent="0.25">
      <c r="A34" s="16"/>
      <c r="B34" s="138" t="s">
        <v>54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1"/>
      <c r="N34" s="6"/>
    </row>
    <row r="35" spans="1:14" ht="137.25" customHeight="1" x14ac:dyDescent="0.25">
      <c r="A35" s="88" t="s">
        <v>49</v>
      </c>
      <c r="B35" s="53" t="s">
        <v>40</v>
      </c>
      <c r="C35" s="42">
        <f>D35+E35+F35</f>
        <v>80817.109159999993</v>
      </c>
      <c r="D35" s="51"/>
      <c r="E35" s="106">
        <v>75000</v>
      </c>
      <c r="F35" s="42">
        <f>SUM(1869.74074+3947.36842)</f>
        <v>5817.10916</v>
      </c>
      <c r="G35" s="78"/>
      <c r="H35" s="67">
        <f>I35+J35+K35</f>
        <v>1869.74074</v>
      </c>
      <c r="I35" s="35"/>
      <c r="J35" s="42"/>
      <c r="K35" s="42">
        <v>1869.74074</v>
      </c>
      <c r="L35" s="67">
        <f>H35</f>
        <v>1869.74074</v>
      </c>
      <c r="M35" s="36">
        <f>L35/(C35+G35)*100</f>
        <v>2.3135456828804988</v>
      </c>
      <c r="N35" s="79" t="s">
        <v>78</v>
      </c>
    </row>
    <row r="36" spans="1:14" s="83" customFormat="1" ht="12" x14ac:dyDescent="0.2">
      <c r="A36" s="80"/>
      <c r="B36" s="92" t="s">
        <v>14</v>
      </c>
      <c r="C36" s="81">
        <f>SUM(C35)</f>
        <v>80817.109159999993</v>
      </c>
      <c r="D36" s="82">
        <v>0</v>
      </c>
      <c r="E36" s="81">
        <f>SUM(E35)</f>
        <v>75000</v>
      </c>
      <c r="F36" s="81">
        <f>SUM(F35)</f>
        <v>5817.10916</v>
      </c>
      <c r="G36" s="81">
        <v>0</v>
      </c>
      <c r="H36" s="35">
        <f>SUM(H35)</f>
        <v>1869.74074</v>
      </c>
      <c r="I36" s="35">
        <v>0</v>
      </c>
      <c r="J36" s="36">
        <v>0</v>
      </c>
      <c r="K36" s="36">
        <f>SUM(K35)</f>
        <v>1869.74074</v>
      </c>
      <c r="L36" s="36">
        <f>SUM(L35)</f>
        <v>1869.74074</v>
      </c>
      <c r="M36" s="36">
        <f>L36/(C36+G36)*100</f>
        <v>2.3135456828804988</v>
      </c>
      <c r="N36" s="49"/>
    </row>
    <row r="37" spans="1:14" s="83" customFormat="1" x14ac:dyDescent="0.2">
      <c r="A37" s="40" t="s">
        <v>50</v>
      </c>
      <c r="B37" s="110" t="s">
        <v>55</v>
      </c>
      <c r="C37" s="130"/>
      <c r="D37" s="130"/>
      <c r="E37" s="130"/>
      <c r="F37" s="130"/>
      <c r="G37" s="130"/>
      <c r="H37" s="131"/>
      <c r="I37" s="35"/>
      <c r="J37" s="36"/>
      <c r="K37" s="36"/>
      <c r="L37" s="36"/>
      <c r="M37" s="36"/>
      <c r="N37" s="49"/>
    </row>
    <row r="38" spans="1:14" s="83" customFormat="1" x14ac:dyDescent="0.2">
      <c r="A38" s="80"/>
      <c r="B38" s="110" t="s">
        <v>52</v>
      </c>
      <c r="C38" s="129"/>
      <c r="D38" s="129"/>
      <c r="E38" s="129"/>
      <c r="F38" s="129"/>
      <c r="G38" s="129"/>
      <c r="H38" s="130"/>
      <c r="I38" s="130"/>
      <c r="J38" s="130"/>
      <c r="K38" s="130"/>
      <c r="L38" s="130"/>
      <c r="M38" s="131"/>
      <c r="N38" s="49"/>
    </row>
    <row r="39" spans="1:14" s="83" customFormat="1" ht="69" customHeight="1" x14ac:dyDescent="0.2">
      <c r="A39" s="40" t="s">
        <v>62</v>
      </c>
      <c r="B39" s="87" t="s">
        <v>64</v>
      </c>
      <c r="C39" s="42">
        <f>SUM(F39+E39)</f>
        <v>1256.8</v>
      </c>
      <c r="D39" s="78"/>
      <c r="E39" s="42"/>
      <c r="F39" s="42">
        <v>1256.8</v>
      </c>
      <c r="G39" s="42"/>
      <c r="H39" s="91">
        <f>SUM(K39+J39+I39)</f>
        <v>1256.8</v>
      </c>
      <c r="I39" s="35"/>
      <c r="J39" s="42"/>
      <c r="K39" s="42">
        <v>1256.8</v>
      </c>
      <c r="L39" s="42">
        <f>H39</f>
        <v>1256.8</v>
      </c>
      <c r="M39" s="36">
        <f>L39/(C39+G39)*100</f>
        <v>100</v>
      </c>
      <c r="N39" s="79" t="s">
        <v>71</v>
      </c>
    </row>
    <row r="40" spans="1:14" s="83" customFormat="1" ht="16.5" customHeight="1" x14ac:dyDescent="0.2">
      <c r="A40" s="40"/>
      <c r="B40" s="93" t="s">
        <v>14</v>
      </c>
      <c r="C40" s="36">
        <f>SUM(C39)</f>
        <v>1256.8</v>
      </c>
      <c r="D40" s="49"/>
      <c r="E40" s="36"/>
      <c r="F40" s="36">
        <f>SUM(F39)</f>
        <v>1256.8</v>
      </c>
      <c r="G40" s="36"/>
      <c r="H40" s="7">
        <f>SUM(H39)</f>
        <v>1256.8</v>
      </c>
      <c r="I40" s="7"/>
      <c r="J40" s="36"/>
      <c r="K40" s="36">
        <f>SUM(K39)</f>
        <v>1256.8</v>
      </c>
      <c r="L40" s="36">
        <f>SUM(L39)</f>
        <v>1256.8</v>
      </c>
      <c r="M40" s="36">
        <f>L40/(C40+G40)*100</f>
        <v>100</v>
      </c>
      <c r="N40" s="79"/>
    </row>
    <row r="41" spans="1:14" s="83" customFormat="1" ht="21" customHeight="1" x14ac:dyDescent="0.2">
      <c r="A41" s="40" t="s">
        <v>65</v>
      </c>
      <c r="B41" s="110" t="s">
        <v>66</v>
      </c>
      <c r="C41" s="132"/>
      <c r="D41" s="132"/>
      <c r="E41" s="132"/>
      <c r="F41" s="132"/>
      <c r="G41" s="132"/>
      <c r="H41" s="133"/>
      <c r="I41" s="35"/>
      <c r="J41" s="42"/>
      <c r="K41" s="42"/>
      <c r="L41" s="42"/>
      <c r="M41" s="36"/>
      <c r="N41" s="79"/>
    </row>
    <row r="42" spans="1:14" s="83" customFormat="1" ht="70.5" customHeight="1" x14ac:dyDescent="0.2">
      <c r="A42" s="40" t="s">
        <v>68</v>
      </c>
      <c r="B42" s="53" t="s">
        <v>67</v>
      </c>
      <c r="C42" s="42">
        <f>D42+E42+F42</f>
        <v>4085.5425300000002</v>
      </c>
      <c r="D42" s="51"/>
      <c r="E42" s="106"/>
      <c r="F42" s="42">
        <v>4085.5425300000002</v>
      </c>
      <c r="G42" s="78"/>
      <c r="H42" s="42">
        <f>I42+J42+K42</f>
        <v>197.5</v>
      </c>
      <c r="I42" s="35"/>
      <c r="J42" s="36"/>
      <c r="K42" s="42">
        <v>197.5</v>
      </c>
      <c r="L42" s="42">
        <f>H42</f>
        <v>197.5</v>
      </c>
      <c r="M42" s="101">
        <v>4.8</v>
      </c>
      <c r="N42" s="79" t="s">
        <v>79</v>
      </c>
    </row>
    <row r="43" spans="1:14" s="103" customFormat="1" ht="15.75" customHeight="1" x14ac:dyDescent="0.2">
      <c r="A43" s="80"/>
      <c r="B43" s="99" t="s">
        <v>14</v>
      </c>
      <c r="C43" s="36">
        <f>SUM(C42)</f>
        <v>4085.5425300000002</v>
      </c>
      <c r="D43" s="104"/>
      <c r="E43" s="105"/>
      <c r="F43" s="36">
        <f>SUM(F42)</f>
        <v>4085.5425300000002</v>
      </c>
      <c r="G43" s="49"/>
      <c r="H43" s="100">
        <f>SUM(H42)</f>
        <v>197.5</v>
      </c>
      <c r="I43" s="35"/>
      <c r="J43" s="36"/>
      <c r="K43" s="36">
        <f>SUM(K42)</f>
        <v>197.5</v>
      </c>
      <c r="L43" s="36">
        <f>SUM(L42)</f>
        <v>197.5</v>
      </c>
      <c r="M43" s="101">
        <f>L43/(C43+G43)*100</f>
        <v>4.8341193011641463</v>
      </c>
      <c r="N43" s="102"/>
    </row>
    <row r="44" spans="1:14" s="83" customFormat="1" x14ac:dyDescent="0.2">
      <c r="A44" s="40" t="s">
        <v>58</v>
      </c>
      <c r="B44" s="110" t="s">
        <v>59</v>
      </c>
      <c r="C44" s="111"/>
      <c r="D44" s="111"/>
      <c r="E44" s="111"/>
      <c r="F44" s="111"/>
      <c r="G44" s="111"/>
      <c r="H44" s="112"/>
      <c r="I44" s="35"/>
      <c r="J44" s="36"/>
      <c r="K44" s="36"/>
      <c r="L44" s="36"/>
      <c r="M44" s="36"/>
      <c r="N44" s="49"/>
    </row>
    <row r="45" spans="1:14" s="83" customFormat="1" ht="73.5" customHeight="1" x14ac:dyDescent="0.2">
      <c r="A45" s="40" t="s">
        <v>60</v>
      </c>
      <c r="B45" s="53" t="s">
        <v>80</v>
      </c>
      <c r="C45" s="42">
        <f>SUM(D45:F45)</f>
        <v>992.90039999999999</v>
      </c>
      <c r="D45" s="49"/>
      <c r="E45" s="36"/>
      <c r="F45" s="42">
        <v>992.90039999999999</v>
      </c>
      <c r="G45" s="36"/>
      <c r="H45" s="68">
        <f>I45+J45+K45</f>
        <v>992.90039999999999</v>
      </c>
      <c r="I45" s="7"/>
      <c r="J45" s="36"/>
      <c r="K45" s="42">
        <v>992.90039999999999</v>
      </c>
      <c r="L45" s="42">
        <f>H45</f>
        <v>992.90039999999999</v>
      </c>
      <c r="M45" s="36">
        <f>L45/(C45+G45)*100</f>
        <v>100</v>
      </c>
      <c r="N45" s="79" t="s">
        <v>81</v>
      </c>
    </row>
    <row r="46" spans="1:14" s="83" customFormat="1" ht="12" x14ac:dyDescent="0.2">
      <c r="A46" s="40"/>
      <c r="B46" s="89" t="s">
        <v>14</v>
      </c>
      <c r="C46" s="36">
        <f>SUM(C45)</f>
        <v>992.90039999999999</v>
      </c>
      <c r="D46" s="49"/>
      <c r="E46" s="36"/>
      <c r="F46" s="36">
        <f>SUM(F45)</f>
        <v>992.90039999999999</v>
      </c>
      <c r="G46" s="36"/>
      <c r="H46" s="7">
        <f>SUM(H45)</f>
        <v>992.90039999999999</v>
      </c>
      <c r="I46" s="7"/>
      <c r="J46" s="36"/>
      <c r="K46" s="36">
        <f>SUM(K45)</f>
        <v>992.90039999999999</v>
      </c>
      <c r="L46" s="36">
        <f>SUM(L45)</f>
        <v>992.90039999999999</v>
      </c>
      <c r="M46" s="36">
        <f>L46/(C46+G46)*100</f>
        <v>100</v>
      </c>
      <c r="N46" s="49"/>
    </row>
    <row r="47" spans="1:14" ht="12.75" customHeight="1" x14ac:dyDescent="0.25">
      <c r="A47" s="16"/>
      <c r="B47" s="5" t="s">
        <v>17</v>
      </c>
      <c r="C47" s="7">
        <f>C14+C18+C25+C29+C36+C40+C43+C46</f>
        <v>980257.34200000006</v>
      </c>
      <c r="D47" s="7">
        <v>0</v>
      </c>
      <c r="E47" s="7">
        <f>E14+E18+E25+E29+E36+E40+E43+E46</f>
        <v>867592.49135999999</v>
      </c>
      <c r="F47" s="7">
        <f>F14+F18+F25+F29+F36+F40+F43+F46</f>
        <v>112664.85063999999</v>
      </c>
      <c r="G47" s="31">
        <v>0</v>
      </c>
      <c r="H47" s="31">
        <f>H14+H18+H25+H29+H36+H40+H43+H46</f>
        <v>433159.23571999994</v>
      </c>
      <c r="I47" s="31">
        <v>0</v>
      </c>
      <c r="J47" s="31">
        <f>J14+J18+J25+J29+J36+40+J46</f>
        <v>371430.41659999994</v>
      </c>
      <c r="K47" s="31">
        <f>K14+K18+K25+K29+K36+K40+K43+K46</f>
        <v>61768.81912</v>
      </c>
      <c r="L47" s="31">
        <f>L14+L18+L25+L29+L36</f>
        <v>497605.12897999998</v>
      </c>
      <c r="M47" s="7">
        <f>L47/(C47+G47)*100</f>
        <v>50.762703594215978</v>
      </c>
      <c r="N47" s="6"/>
    </row>
  </sheetData>
  <mergeCells count="27">
    <mergeCell ref="B38:M38"/>
    <mergeCell ref="B41:H41"/>
    <mergeCell ref="B9:H9"/>
    <mergeCell ref="B37:H37"/>
    <mergeCell ref="B26:I26"/>
    <mergeCell ref="B19:N19"/>
    <mergeCell ref="B20:N20"/>
    <mergeCell ref="B34:M34"/>
    <mergeCell ref="B12:N12"/>
    <mergeCell ref="A27:N27"/>
    <mergeCell ref="B30:N30"/>
    <mergeCell ref="B44:H44"/>
    <mergeCell ref="A1:N1"/>
    <mergeCell ref="A2:N2"/>
    <mergeCell ref="A3:N3"/>
    <mergeCell ref="A4:N4"/>
    <mergeCell ref="G5:G6"/>
    <mergeCell ref="H5:K5"/>
    <mergeCell ref="L5:L6"/>
    <mergeCell ref="B5:B6"/>
    <mergeCell ref="A5:A6"/>
    <mergeCell ref="C5:F5"/>
    <mergeCell ref="M5:M6"/>
    <mergeCell ref="N5:N6"/>
    <mergeCell ref="B15:N15"/>
    <mergeCell ref="B8:N8"/>
    <mergeCell ref="B16:N16"/>
  </mergeCells>
  <phoneticPr fontId="5" type="noConversion"/>
  <pageMargins left="0" right="0" top="0.19685039370078741" bottom="0.19685039370078741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2025-02-21T05:07:28Z</dcterms:modified>
</cp:coreProperties>
</file>