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7A2D7E96-6E34-419A-AE5F-296B3A7E7977}"/>
  <workbookPr codeName="ЭтаКнига" defaultThemeVersion="124226"/>
  <bookViews>
    <workbookView xWindow="480" yWindow="750" windowWidth="15480" windowHeight="6600" tabRatio="631" activeTab="6"/>
  </bookViews>
  <sheets>
    <sheet name="Результат" sheetId="1" r:id="rId1"/>
    <sheet name="Рис1" sheetId="2" r:id="rId2"/>
    <sheet name="Расчет" sheetId="3" r:id="rId3"/>
    <sheet name="Нарушения БК" sheetId="4" r:id="rId4"/>
    <sheet name="Оценки" sheetId="5" r:id="rId5"/>
    <sheet name="Индикаторы" sheetId="6" r:id="rId6"/>
    <sheet name="Данные" sheetId="7" r:id="rId7"/>
  </sheets>
  <externalReferences>
    <externalReference r:id="rId8"/>
  </externalReferences>
  <definedNames>
    <definedName name="_xlnm._FilterDatabase" localSheetId="6" hidden="1">Данные!$A$5:$K$89</definedName>
    <definedName name="_xlnm._FilterDatabase" localSheetId="5" hidden="1">Индикаторы!$A$7:$M$46</definedName>
    <definedName name="_xlnm._FilterDatabase" localSheetId="4" hidden="1">Оценки!$A$4:$N$45</definedName>
    <definedName name="OLE_LINK7" localSheetId="5">Индикаторы!#REF!</definedName>
    <definedName name="OLE_LINK7" localSheetId="3">'Нарушения БК'!#REF!</definedName>
    <definedName name="OLE_LINK7" localSheetId="4">Оценки!#REF!</definedName>
    <definedName name="Z_098E34BE_CFD7_43AA_8220_ECA9C8F59E89_.wvu.FilterData" localSheetId="6" hidden="1">Данные!$A$5:$K$89</definedName>
    <definedName name="Z_099474FE_4EC7_4CB3_84C0_D607E04C5E4A_.wvu.FilterData" localSheetId="6" hidden="1">Данные!$A$5:$K$89</definedName>
    <definedName name="Z_0B143493_E8AF_4ECF_9F8E_ADD561353ACD_.wvu.FilterData" localSheetId="6" hidden="1">Данные!$A$5:$K$89</definedName>
    <definedName name="Z_0F230C82_ACCB_4159_B2D9_CECDCA49D9F3_.wvu.FilterData" localSheetId="6" hidden="1">Данные!$A$5:$K$89</definedName>
    <definedName name="Z_147A8583_3101_4745_816E_6D404CE92D5B_.wvu.Cols" localSheetId="6" hidden="1">Данные!$A:$A</definedName>
    <definedName name="Z_147A8583_3101_4745_816E_6D404CE92D5B_.wvu.Cols" localSheetId="4" hidden="1">Оценки!$F:$H</definedName>
    <definedName name="Z_147A8583_3101_4745_816E_6D404CE92D5B_.wvu.Cols" localSheetId="0" hidden="1">Результат!$B:$C,Результат!$E:$E</definedName>
    <definedName name="Z_147A8583_3101_4745_816E_6D404CE92D5B_.wvu.FilterData" localSheetId="6" hidden="1">Данные!$A$5:$K$89</definedName>
    <definedName name="Z_147A8583_3101_4745_816E_6D404CE92D5B_.wvu.FilterData" localSheetId="5" hidden="1">Индикаторы!$A$7:$M$45</definedName>
    <definedName name="Z_147A8583_3101_4745_816E_6D404CE92D5B_.wvu.FilterData" localSheetId="4" hidden="1">Оценки!$A$4:$N$44</definedName>
    <definedName name="Z_147A8583_3101_4745_816E_6D404CE92D5B_.wvu.PrintTitles" localSheetId="6" hidden="1">Данные!$B:$E,Данные!$4:$4</definedName>
    <definedName name="Z_147A8583_3101_4745_816E_6D404CE92D5B_.wvu.PrintTitles" localSheetId="5" hidden="1">Индикаторы!$A:$B,Индикаторы!$5:$5</definedName>
    <definedName name="Z_147A8583_3101_4745_816E_6D404CE92D5B_.wvu.PrintTitles" localSheetId="3" hidden="1">'Нарушения БК'!$A:$B</definedName>
    <definedName name="Z_147A8583_3101_4745_816E_6D404CE92D5B_.wvu.PrintTitles" localSheetId="4" hidden="1">Оценки!$A:$B,Оценки!$4:$5</definedName>
    <definedName name="Z_147A8583_3101_4745_816E_6D404CE92D5B_.wvu.Rows" localSheetId="5" hidden="1">Индикаторы!$6:$6</definedName>
    <definedName name="Z_4D8262FD_3414_4C1E_8424_B1C8B463E78D_.wvu.FilterData" localSheetId="6" hidden="1">Данные!$A$5:$K$89</definedName>
    <definedName name="Z_575C3477_AA33_4787_811C_6F4C21E7967C_.wvu.FilterData" localSheetId="6" hidden="1">Данные!$A$5:$K$89</definedName>
    <definedName name="Z_6954D032_FB65_46D7_B3FD_2240DE8EEC08_.wvu.FilterData" localSheetId="6" hidden="1">Данные!$A$5:$K$89</definedName>
    <definedName name="Z_6D1BDB52_2363_40AC_9D7D_47AC755283F9_.wvu.FilterData" localSheetId="6" hidden="1">Данные!$A$5:$K$89</definedName>
    <definedName name="Z_748E3807_FF97_410D_A98F_64A98E0B10B1_.wvu.FilterData" localSheetId="6" hidden="1">Данные!$A$5:$K$89</definedName>
    <definedName name="Z_7C73B16C_AAEE_4A9B_B92B_6CA35F0FE062_.wvu.FilterData" localSheetId="6" hidden="1">Данные!$A$5:$K$89</definedName>
    <definedName name="Z_83D10D2B_87E3_492A_8FA6_1D109F479C1D_.wvu.FilterData" localSheetId="6" hidden="1">Данные!$A$5:$K$89</definedName>
    <definedName name="Z_8ABC692A_193F_4EA9_A7E8_F3C636A6C39C_.wvu.Cols" localSheetId="6" hidden="1">Данные!$A:$A</definedName>
    <definedName name="Z_8ABC692A_193F_4EA9_A7E8_F3C636A6C39C_.wvu.Cols" localSheetId="4" hidden="1">Оценки!$F:$H</definedName>
    <definedName name="Z_8ABC692A_193F_4EA9_A7E8_F3C636A6C39C_.wvu.Cols" localSheetId="0" hidden="1">Результат!$B:$C,Результат!$E:$E</definedName>
    <definedName name="Z_8ABC692A_193F_4EA9_A7E8_F3C636A6C39C_.wvu.FilterData" localSheetId="6" hidden="1">Данные!$A$5:$K$89</definedName>
    <definedName name="Z_8ABC692A_193F_4EA9_A7E8_F3C636A6C39C_.wvu.FilterData" localSheetId="5" hidden="1">Индикаторы!$A$7:$M$45</definedName>
    <definedName name="Z_8ABC692A_193F_4EA9_A7E8_F3C636A6C39C_.wvu.FilterData" localSheetId="4" hidden="1">Оценки!$A$4:$N$44</definedName>
    <definedName name="Z_8ABC692A_193F_4EA9_A7E8_F3C636A6C39C_.wvu.PrintTitles" localSheetId="6" hidden="1">Данные!$B:$E,Данные!$4:$4</definedName>
    <definedName name="Z_8ABC692A_193F_4EA9_A7E8_F3C636A6C39C_.wvu.PrintTitles" localSheetId="5" hidden="1">Индикаторы!$A:$B,Индикаторы!$5:$5</definedName>
    <definedName name="Z_8ABC692A_193F_4EA9_A7E8_F3C636A6C39C_.wvu.PrintTitles" localSheetId="3" hidden="1">'Нарушения БК'!$A:$B</definedName>
    <definedName name="Z_8ABC692A_193F_4EA9_A7E8_F3C636A6C39C_.wvu.PrintTitles" localSheetId="4" hidden="1">Оценки!$A:$B,Оценки!$4:$5</definedName>
    <definedName name="Z_8ABC692A_193F_4EA9_A7E8_F3C636A6C39C_.wvu.Rows" localSheetId="5" hidden="1">Индикаторы!$6:$6</definedName>
    <definedName name="Z_8ECADCB4_9645_4159_9327_74F3826FE0A8_.wvu.FilterData" localSheetId="6" hidden="1">Данные!$A$5:$K$89</definedName>
    <definedName name="Z_90180853_0DFC_44C1_B43E_CF430E2E16DC_.wvu.FilterData" localSheetId="6" hidden="1">Данные!$A$5:$K$89</definedName>
    <definedName name="Z_BD1EECBA_7C3F_409E_B95A_3A8BDD766619_.wvu.FilterData" localSheetId="6" hidden="1">Данные!$A$5:$K$89</definedName>
    <definedName name="Z_C16AA9A4_FD4D_4065_B8C7_5A276800DB82_.wvu.FilterData" localSheetId="6" hidden="1">Данные!$A$5:$K$89</definedName>
    <definedName name="Z_C5F7A8B3_34EF_4D20_9AAA_3E1E6664058D_.wvu.FilterData" localSheetId="6" hidden="1">Данные!$A$5:$K$89</definedName>
    <definedName name="Z_CEC71907_B613_4BBF_A3EC_E191328F7EAB_.wvu.FilterData" localSheetId="6" hidden="1">Данные!$A$5:$K$89</definedName>
    <definedName name="Z_D316E6A3_A372_4DB9_AFE2_075FAC8AD47B_.wvu.FilterData" localSheetId="6" hidden="1">Данные!$A$5:$K$89</definedName>
    <definedName name="Z_D9A0B803_DAC3_42B5_87BD_2E54A84CD96A_.wvu.FilterData" localSheetId="6" hidden="1">Данные!$A$5:$K$89</definedName>
    <definedName name="Z_FAA81BF3_508A_41C4_82A9_58C85B02855C_.wvu.FilterData" localSheetId="6" hidden="1">Данные!$A$5:$K$89</definedName>
    <definedName name="Выбор">[1]Справочник!$B$30:$C$30</definedName>
    <definedName name="_xlnm.Print_Titles" localSheetId="6">Данные!$B:$E,Данные!$4:$4</definedName>
    <definedName name="_xlnm.Print_Titles" localSheetId="5">Индикаторы!$A:$B,Индикаторы!$5:$5</definedName>
    <definedName name="_xlnm.Print_Titles" localSheetId="3">'Нарушения БК'!$A:$B</definedName>
    <definedName name="_xlnm.Print_Titles" localSheetId="4">Оценки!$A:$B,Оценки!$4:$5</definedName>
    <definedName name="_xlnm.Print_Area" localSheetId="6">Данные!$A$1:$K$93</definedName>
  </definedNames>
  <calcPr calcId="125725"/>
  <customWorkbookViews>
    <customWorkbookView name="Косарева Антонина Леонидовна - Личное представление" guid="{8ABC692A-193F-4EA9-A7E8-F3C636A6C39C}" mergeInterval="0" personalView="1" maximized="1" windowWidth="1596" windowHeight="615" tabRatio="631" activeSheetId="1"/>
    <customWorkbookView name="TebenkovaOV - Личное представление" guid="{147A8583-3101-4745-816E-6D404CE92D5B}" mergeInterval="0" personalView="1" maximized="1" xWindow="1" yWindow="1" windowWidth="1280" windowHeight="458" tabRatio="631" activeSheetId="7"/>
  </customWorkbookViews>
</workbook>
</file>

<file path=xl/calcChain.xml><?xml version="1.0" encoding="utf-8"?>
<calcChain xmlns="http://schemas.openxmlformats.org/spreadsheetml/2006/main">
  <c r="B38" i="5"/>
  <c r="B40"/>
  <c r="G6" i="4"/>
  <c r="H40" i="7" l="1"/>
  <c r="G8" l="1"/>
  <c r="I73" l="1"/>
  <c r="G73"/>
  <c r="J73"/>
  <c r="H73"/>
  <c r="K73"/>
  <c r="G37"/>
  <c r="J8"/>
  <c r="J14" l="1"/>
  <c r="D80" l="1"/>
  <c r="E80"/>
  <c r="D81"/>
  <c r="E81"/>
  <c r="D82"/>
  <c r="E82"/>
  <c r="D83"/>
  <c r="E83"/>
  <c r="G72"/>
  <c r="H72"/>
  <c r="I72"/>
  <c r="J72"/>
  <c r="K72"/>
  <c r="F73"/>
  <c r="F72" s="1"/>
  <c r="D6" l="1"/>
  <c r="E42" l="1"/>
  <c r="D42"/>
  <c r="H49" i="6"/>
  <c r="I48" i="5" s="1"/>
  <c r="I49" i="6"/>
  <c r="J48" i="5" s="1"/>
  <c r="J49" i="6"/>
  <c r="K49"/>
  <c r="L49"/>
  <c r="M48" i="5" s="1"/>
  <c r="M49" i="6"/>
  <c r="N48" i="5" s="1"/>
  <c r="H50" i="6"/>
  <c r="I50"/>
  <c r="J49" i="5" s="1"/>
  <c r="J50" i="6"/>
  <c r="K49" i="5" s="1"/>
  <c r="K50" i="6"/>
  <c r="L49" i="5" s="1"/>
  <c r="L50" i="6"/>
  <c r="M49" i="5" s="1"/>
  <c r="M50" i="6"/>
  <c r="N49" i="5" s="1"/>
  <c r="H51" i="6"/>
  <c r="I50" i="5" s="1"/>
  <c r="I51" i="6"/>
  <c r="J51"/>
  <c r="K50" i="5" s="1"/>
  <c r="K51" i="6"/>
  <c r="L50" i="5" s="1"/>
  <c r="L51" i="6"/>
  <c r="M50" i="5" s="1"/>
  <c r="M51" i="6"/>
  <c r="N50" i="5" s="1"/>
  <c r="I48" i="6"/>
  <c r="J47" i="5" s="1"/>
  <c r="J48" i="6"/>
  <c r="K47" i="5" s="1"/>
  <c r="K48" i="6"/>
  <c r="L48"/>
  <c r="M47" i="5" s="1"/>
  <c r="M48" i="6"/>
  <c r="N47" i="5" s="1"/>
  <c r="H48" i="6"/>
  <c r="I47" i="5" s="1"/>
  <c r="B48"/>
  <c r="B49"/>
  <c r="B50"/>
  <c r="B47"/>
  <c r="A48"/>
  <c r="A49"/>
  <c r="A50"/>
  <c r="A47"/>
  <c r="G49" i="6" l="1"/>
  <c r="F51"/>
  <c r="G48"/>
  <c r="M46" i="5"/>
  <c r="G51" i="6"/>
  <c r="J50" i="5"/>
  <c r="J46" s="1"/>
  <c r="N46"/>
  <c r="F50" i="6"/>
  <c r="F49"/>
  <c r="I49" i="5"/>
  <c r="I46" s="1"/>
  <c r="K48"/>
  <c r="K46" s="1"/>
  <c r="L48"/>
  <c r="L47"/>
  <c r="G50" i="6"/>
  <c r="F48"/>
  <c r="L46" i="5" l="1"/>
  <c r="E48" i="7"/>
  <c r="E47"/>
  <c r="D48"/>
  <c r="D47"/>
  <c r="B25" i="5" l="1"/>
  <c r="F14" i="7" l="1"/>
  <c r="G2" i="4" l="1"/>
  <c r="G61" i="7" l="1"/>
  <c r="J61"/>
  <c r="K61"/>
  <c r="F61"/>
  <c r="G40"/>
  <c r="I40"/>
  <c r="J40"/>
  <c r="K40"/>
  <c r="F40"/>
  <c r="G14"/>
  <c r="I12" i="6" s="1"/>
  <c r="H14" i="7"/>
  <c r="J12" i="6" s="1"/>
  <c r="I14" i="7"/>
  <c r="K12" i="6" s="1"/>
  <c r="L12"/>
  <c r="K14" i="7"/>
  <c r="M12" i="6" s="1"/>
  <c r="H12"/>
  <c r="F12" l="1"/>
  <c r="G12"/>
  <c r="I46"/>
  <c r="J45" i="5" s="1"/>
  <c r="J46" i="6"/>
  <c r="K45" i="5" s="1"/>
  <c r="K46" i="6"/>
  <c r="L45" i="5" s="1"/>
  <c r="L46" i="6"/>
  <c r="M45" i="5" s="1"/>
  <c r="M46" i="6"/>
  <c r="N45" i="5" s="1"/>
  <c r="H46" i="6"/>
  <c r="E78" i="7"/>
  <c r="D78"/>
  <c r="I37" i="6"/>
  <c r="J37"/>
  <c r="K37"/>
  <c r="L37"/>
  <c r="M37"/>
  <c r="H37"/>
  <c r="I36"/>
  <c r="J35" i="5" s="1"/>
  <c r="J36" i="6"/>
  <c r="K35" i="5" s="1"/>
  <c r="K36" i="6"/>
  <c r="L35" i="5" s="1"/>
  <c r="L36" i="6"/>
  <c r="M35" i="5" s="1"/>
  <c r="M36" i="6"/>
  <c r="N35" i="5" s="1"/>
  <c r="H36" i="6"/>
  <c r="I30"/>
  <c r="J30"/>
  <c r="K30"/>
  <c r="L30"/>
  <c r="M30"/>
  <c r="H30"/>
  <c r="G53" i="7"/>
  <c r="H53"/>
  <c r="I53"/>
  <c r="J53"/>
  <c r="K53"/>
  <c r="F53"/>
  <c r="B45" i="5"/>
  <c r="A45"/>
  <c r="G36" i="6" l="1"/>
  <c r="G37"/>
  <c r="E37" s="1"/>
  <c r="G46"/>
  <c r="F46"/>
  <c r="F36"/>
  <c r="I45" i="5"/>
  <c r="I35"/>
  <c r="F37" i="6"/>
  <c r="D37" s="1"/>
  <c r="D76" i="7"/>
  <c r="E72"/>
  <c r="D72"/>
  <c r="I36" i="5" l="1"/>
  <c r="B36"/>
  <c r="B20"/>
  <c r="I27" i="6"/>
  <c r="J26" i="5" s="1"/>
  <c r="J27" i="6"/>
  <c r="K26" i="5" s="1"/>
  <c r="K27" i="6"/>
  <c r="L26" i="5" s="1"/>
  <c r="L27" i="6"/>
  <c r="M26" i="5" s="1"/>
  <c r="M27" i="6"/>
  <c r="N26" i="5" s="1"/>
  <c r="H27" i="6"/>
  <c r="I26" i="5" s="1"/>
  <c r="E77" i="7" l="1"/>
  <c r="I39" i="6" l="1"/>
  <c r="J39"/>
  <c r="K39"/>
  <c r="L39"/>
  <c r="M39"/>
  <c r="I40"/>
  <c r="J40"/>
  <c r="K40"/>
  <c r="L40"/>
  <c r="M40"/>
  <c r="I41"/>
  <c r="J41"/>
  <c r="K41"/>
  <c r="L41"/>
  <c r="M41"/>
  <c r="I42"/>
  <c r="J42"/>
  <c r="K42"/>
  <c r="L42"/>
  <c r="M42"/>
  <c r="I43"/>
  <c r="J43"/>
  <c r="K43"/>
  <c r="L43"/>
  <c r="M43"/>
  <c r="I44"/>
  <c r="J44"/>
  <c r="K44"/>
  <c r="L44"/>
  <c r="M44"/>
  <c r="I45"/>
  <c r="J44" i="5" s="1"/>
  <c r="J45" i="6"/>
  <c r="K44" i="5" s="1"/>
  <c r="K45" i="6"/>
  <c r="L44" i="5" s="1"/>
  <c r="L45" i="6"/>
  <c r="M44" i="5" s="1"/>
  <c r="M45" i="6"/>
  <c r="N44" i="5" s="1"/>
  <c r="J36"/>
  <c r="K36"/>
  <c r="L36"/>
  <c r="M36"/>
  <c r="N36"/>
  <c r="I35" i="6"/>
  <c r="J35"/>
  <c r="K35"/>
  <c r="L35"/>
  <c r="M35"/>
  <c r="I31"/>
  <c r="J31"/>
  <c r="K31"/>
  <c r="L31"/>
  <c r="M31"/>
  <c r="I32"/>
  <c r="J32"/>
  <c r="K32"/>
  <c r="L32"/>
  <c r="M32"/>
  <c r="I26"/>
  <c r="J25" i="5" s="1"/>
  <c r="J26" i="6"/>
  <c r="K25" i="5" s="1"/>
  <c r="K26" i="6"/>
  <c r="L25" i="5" s="1"/>
  <c r="L26" i="6"/>
  <c r="M25" i="5" s="1"/>
  <c r="M26" i="6"/>
  <c r="N25" i="5" s="1"/>
  <c r="I24" i="6"/>
  <c r="J24"/>
  <c r="K24"/>
  <c r="L24"/>
  <c r="M24"/>
  <c r="I23"/>
  <c r="J23"/>
  <c r="K23"/>
  <c r="L23"/>
  <c r="M23"/>
  <c r="I22"/>
  <c r="J22"/>
  <c r="K22"/>
  <c r="L22"/>
  <c r="M22"/>
  <c r="I13"/>
  <c r="J13"/>
  <c r="K13"/>
  <c r="L13"/>
  <c r="M13"/>
  <c r="I11"/>
  <c r="J10" i="5" s="1"/>
  <c r="J11" i="6"/>
  <c r="K10" i="5" s="1"/>
  <c r="K11" i="6"/>
  <c r="L10" i="5" s="1"/>
  <c r="L11" i="6"/>
  <c r="M10" i="5" s="1"/>
  <c r="M11" i="6"/>
  <c r="N10" i="5" s="1"/>
  <c r="I9" i="6"/>
  <c r="J8" i="5" s="1"/>
  <c r="J9" i="6"/>
  <c r="K8" i="5" s="1"/>
  <c r="K9" i="6"/>
  <c r="L8" i="5" s="1"/>
  <c r="L9" i="6"/>
  <c r="M8" i="5" s="1"/>
  <c r="M9" i="6"/>
  <c r="N8" i="5" s="1"/>
  <c r="I8" i="6"/>
  <c r="J7" i="5" s="1"/>
  <c r="J8" i="6"/>
  <c r="K7" i="5" s="1"/>
  <c r="K8" i="6"/>
  <c r="L7" i="5" s="1"/>
  <c r="L8" i="6"/>
  <c r="M7" i="5" s="1"/>
  <c r="M8" i="6"/>
  <c r="N7" i="5" s="1"/>
  <c r="E66" i="7"/>
  <c r="D66"/>
  <c r="E43"/>
  <c r="D43"/>
  <c r="H45" i="6"/>
  <c r="I44" i="5" s="1"/>
  <c r="A36"/>
  <c r="D7" i="1"/>
  <c r="D8"/>
  <c r="D9"/>
  <c r="D10"/>
  <c r="D11"/>
  <c r="D12"/>
  <c r="D13"/>
  <c r="D14"/>
  <c r="D15"/>
  <c r="D16"/>
  <c r="D17"/>
  <c r="D18"/>
  <c r="D19"/>
  <c r="D21"/>
  <c r="D22"/>
  <c r="D23"/>
  <c r="D24"/>
  <c r="D25"/>
  <c r="D26"/>
  <c r="D27"/>
  <c r="D28"/>
  <c r="D29"/>
  <c r="F58" i="7" l="1"/>
  <c r="J49"/>
  <c r="K49"/>
  <c r="G49"/>
  <c r="H49"/>
  <c r="I49"/>
  <c r="F49"/>
  <c r="F20"/>
  <c r="D7"/>
  <c r="E7"/>
  <c r="D13"/>
  <c r="E13"/>
  <c r="D17"/>
  <c r="E17"/>
  <c r="D19"/>
  <c r="E19"/>
  <c r="D44"/>
  <c r="E44"/>
  <c r="D45"/>
  <c r="E45"/>
  <c r="D53"/>
  <c r="E53"/>
  <c r="D56"/>
  <c r="E56"/>
  <c r="D57"/>
  <c r="E57"/>
  <c r="D64"/>
  <c r="E64"/>
  <c r="D70"/>
  <c r="E70"/>
  <c r="D71"/>
  <c r="E71"/>
  <c r="D74"/>
  <c r="E74"/>
  <c r="D75"/>
  <c r="E75"/>
  <c r="E76"/>
  <c r="D77"/>
  <c r="E6"/>
  <c r="H8"/>
  <c r="I8"/>
  <c r="K8"/>
  <c r="F8"/>
  <c r="H10" i="6"/>
  <c r="F23" i="7"/>
  <c r="I28" i="6"/>
  <c r="J28"/>
  <c r="K28"/>
  <c r="L28"/>
  <c r="M28"/>
  <c r="H28"/>
  <c r="D65" i="7" l="1"/>
  <c r="E65"/>
  <c r="D49"/>
  <c r="E49"/>
  <c r="E8"/>
  <c r="D8"/>
  <c r="F2" i="4"/>
  <c r="F3"/>
  <c r="G58" i="7"/>
  <c r="J58"/>
  <c r="K58"/>
  <c r="G23"/>
  <c r="H23"/>
  <c r="I23"/>
  <c r="J23"/>
  <c r="K23"/>
  <c r="G20"/>
  <c r="H20"/>
  <c r="I20"/>
  <c r="J20"/>
  <c r="K20"/>
  <c r="G3" i="4"/>
  <c r="K27" i="7" l="1"/>
  <c r="I27"/>
  <c r="G27"/>
  <c r="H19" i="6"/>
  <c r="F27" i="7"/>
  <c r="J27"/>
  <c r="H27"/>
  <c r="E23"/>
  <c r="D58"/>
  <c r="D20"/>
  <c r="E61"/>
  <c r="E14"/>
  <c r="D14"/>
  <c r="D23"/>
  <c r="D61"/>
  <c r="E58"/>
  <c r="E20"/>
  <c r="E26"/>
  <c r="D26"/>
  <c r="E40"/>
  <c r="D40"/>
  <c r="M19" i="6"/>
  <c r="K19"/>
  <c r="I19"/>
  <c r="L19"/>
  <c r="J19"/>
  <c r="H6" i="4"/>
  <c r="I6"/>
  <c r="J6"/>
  <c r="K6"/>
  <c r="F6"/>
  <c r="G5"/>
  <c r="H5"/>
  <c r="I5"/>
  <c r="J5"/>
  <c r="K5"/>
  <c r="F5"/>
  <c r="H2"/>
  <c r="I2"/>
  <c r="J2"/>
  <c r="K2"/>
  <c r="H3"/>
  <c r="I3"/>
  <c r="J3"/>
  <c r="K3"/>
  <c r="G4"/>
  <c r="H4"/>
  <c r="I4"/>
  <c r="J4"/>
  <c r="K4"/>
  <c r="I10" i="6"/>
  <c r="J10"/>
  <c r="K10"/>
  <c r="L10"/>
  <c r="M10"/>
  <c r="J12" i="5"/>
  <c r="K12"/>
  <c r="L12"/>
  <c r="M12"/>
  <c r="N12"/>
  <c r="I15" i="6"/>
  <c r="J15"/>
  <c r="K15"/>
  <c r="L15"/>
  <c r="M15"/>
  <c r="I16"/>
  <c r="J16"/>
  <c r="K16"/>
  <c r="L16"/>
  <c r="M16"/>
  <c r="I17"/>
  <c r="J17"/>
  <c r="K17"/>
  <c r="L17"/>
  <c r="M17"/>
  <c r="I18"/>
  <c r="J18"/>
  <c r="K18"/>
  <c r="L18"/>
  <c r="M18"/>
  <c r="I20"/>
  <c r="J20"/>
  <c r="K20"/>
  <c r="L20"/>
  <c r="M20"/>
  <c r="I21"/>
  <c r="J20" i="5" s="1"/>
  <c r="J21" i="6"/>
  <c r="K20" i="5" s="1"/>
  <c r="K21" i="6"/>
  <c r="L20" i="5" s="1"/>
  <c r="L21" i="6"/>
  <c r="M20" i="5" s="1"/>
  <c r="M21" i="6"/>
  <c r="N20" i="5" s="1"/>
  <c r="J21"/>
  <c r="K21"/>
  <c r="L21"/>
  <c r="M21"/>
  <c r="N21"/>
  <c r="J22"/>
  <c r="K22"/>
  <c r="L22"/>
  <c r="M22"/>
  <c r="N22"/>
  <c r="J23"/>
  <c r="K23"/>
  <c r="L23"/>
  <c r="M23"/>
  <c r="N23"/>
  <c r="J30"/>
  <c r="K30"/>
  <c r="L30"/>
  <c r="M30"/>
  <c r="N30"/>
  <c r="J31"/>
  <c r="K31"/>
  <c r="L31"/>
  <c r="M31"/>
  <c r="N31"/>
  <c r="I33" i="6"/>
  <c r="J33"/>
  <c r="K33"/>
  <c r="L33"/>
  <c r="M33"/>
  <c r="I34"/>
  <c r="J34"/>
  <c r="K34"/>
  <c r="L34"/>
  <c r="M34"/>
  <c r="J34" i="5"/>
  <c r="K34"/>
  <c r="L34"/>
  <c r="M34"/>
  <c r="N34"/>
  <c r="J38"/>
  <c r="K38"/>
  <c r="L38"/>
  <c r="M38"/>
  <c r="N38"/>
  <c r="J39"/>
  <c r="K39"/>
  <c r="L39"/>
  <c r="M39"/>
  <c r="N39"/>
  <c r="J41"/>
  <c r="K41"/>
  <c r="L41"/>
  <c r="M41"/>
  <c r="N41"/>
  <c r="J42"/>
  <c r="K42"/>
  <c r="L42"/>
  <c r="M42"/>
  <c r="N42"/>
  <c r="J43"/>
  <c r="K43"/>
  <c r="L43"/>
  <c r="M43"/>
  <c r="N43"/>
  <c r="H21" i="6"/>
  <c r="I20" i="5" s="1"/>
  <c r="F10" i="6" l="1"/>
  <c r="G10"/>
  <c r="H7" i="4"/>
  <c r="I7"/>
  <c r="E29" i="3"/>
  <c r="E21"/>
  <c r="E24"/>
  <c r="E22"/>
  <c r="E16"/>
  <c r="K7" i="4"/>
  <c r="E12" i="3" s="1"/>
  <c r="E25"/>
  <c r="E19"/>
  <c r="E15"/>
  <c r="J7" i="4"/>
  <c r="E11" i="3" s="1"/>
  <c r="G7" i="4"/>
  <c r="E8" i="3" s="1"/>
  <c r="E27"/>
  <c r="E17"/>
  <c r="E13"/>
  <c r="E9"/>
  <c r="E26"/>
  <c r="E23"/>
  <c r="E28"/>
  <c r="E18"/>
  <c r="E14"/>
  <c r="E10"/>
  <c r="D27" i="7"/>
  <c r="E27"/>
  <c r="F27" i="6"/>
  <c r="G27"/>
  <c r="A26" i="5"/>
  <c r="A27"/>
  <c r="B26"/>
  <c r="A12"/>
  <c r="A11"/>
  <c r="A10"/>
  <c r="A9"/>
  <c r="F4" i="4" l="1"/>
  <c r="F7" s="1"/>
  <c r="E7" i="3" s="1"/>
  <c r="H44" i="6" l="1"/>
  <c r="I43" i="5" s="1"/>
  <c r="H43" i="6"/>
  <c r="I42" i="5" s="1"/>
  <c r="H42" i="6"/>
  <c r="I41" i="5" s="1"/>
  <c r="H41" i="6"/>
  <c r="F41" s="1"/>
  <c r="D41" s="1"/>
  <c r="H40"/>
  <c r="I39" i="5" s="1"/>
  <c r="H39" i="6"/>
  <c r="I38" i="5" s="1"/>
  <c r="H35" i="6"/>
  <c r="I34" i="5" s="1"/>
  <c r="H34" i="6"/>
  <c r="H33"/>
  <c r="H32"/>
  <c r="I31" i="5" s="1"/>
  <c r="H31" i="6"/>
  <c r="I30" i="5" s="1"/>
  <c r="H24" i="6" l="1"/>
  <c r="I23" i="5" s="1"/>
  <c r="H23" i="6"/>
  <c r="I22" i="5" s="1"/>
  <c r="H22" i="6"/>
  <c r="I21" i="5" s="1"/>
  <c r="H20" i="6"/>
  <c r="H13"/>
  <c r="H9"/>
  <c r="H11"/>
  <c r="H8"/>
  <c r="A20" i="5"/>
  <c r="A21"/>
  <c r="B21"/>
  <c r="A22"/>
  <c r="B22"/>
  <c r="A23"/>
  <c r="B23"/>
  <c r="I12" l="1"/>
  <c r="G13" i="6"/>
  <c r="F13"/>
  <c r="I8" i="5"/>
  <c r="G9" i="6"/>
  <c r="F9"/>
  <c r="I10" i="5"/>
  <c r="G11" i="6"/>
  <c r="F11"/>
  <c r="F8"/>
  <c r="G8"/>
  <c r="I7" i="5"/>
  <c r="E12" i="6"/>
  <c r="F28"/>
  <c r="D28" s="1"/>
  <c r="G28"/>
  <c r="E28" s="1"/>
  <c r="B44" i="5"/>
  <c r="A44"/>
  <c r="B43"/>
  <c r="A43"/>
  <c r="B42"/>
  <c r="A42"/>
  <c r="B41"/>
  <c r="A41"/>
  <c r="A25" l="1"/>
  <c r="A15"/>
  <c r="B15"/>
  <c r="A16"/>
  <c r="B16"/>
  <c r="A17"/>
  <c r="B17"/>
  <c r="A18"/>
  <c r="B18"/>
  <c r="A19"/>
  <c r="B19"/>
  <c r="B9"/>
  <c r="B10"/>
  <c r="A8"/>
  <c r="B8"/>
  <c r="B11"/>
  <c r="B12"/>
  <c r="B7"/>
  <c r="A40"/>
  <c r="B39"/>
  <c r="A39"/>
  <c r="A38"/>
  <c r="B35"/>
  <c r="A35"/>
  <c r="B34"/>
  <c r="A34"/>
  <c r="B33"/>
  <c r="A33"/>
  <c r="B32"/>
  <c r="A32"/>
  <c r="B31"/>
  <c r="A31"/>
  <c r="B30"/>
  <c r="A30"/>
  <c r="B29"/>
  <c r="A29"/>
  <c r="B27"/>
  <c r="B14"/>
  <c r="A14"/>
  <c r="A7"/>
  <c r="G43" i="6" l="1"/>
  <c r="F44"/>
  <c r="G23"/>
  <c r="G22"/>
  <c r="G44"/>
  <c r="F43"/>
  <c r="F22"/>
  <c r="F23"/>
  <c r="G40"/>
  <c r="F31"/>
  <c r="G42"/>
  <c r="G31"/>
  <c r="F40"/>
  <c r="F42"/>
  <c r="D10" l="1"/>
  <c r="E10"/>
  <c r="I9" i="5" l="1"/>
  <c r="K9"/>
  <c r="J9"/>
  <c r="N9"/>
  <c r="L9"/>
  <c r="M9"/>
  <c r="G35" i="6" l="1"/>
  <c r="F35"/>
  <c r="G32"/>
  <c r="F32"/>
  <c r="F30"/>
  <c r="D30" s="1"/>
  <c r="G30"/>
  <c r="E30" s="1"/>
  <c r="N29" i="5" l="1"/>
  <c r="I29"/>
  <c r="K29"/>
  <c r="J29"/>
  <c r="L29"/>
  <c r="M29"/>
  <c r="H26" i="6"/>
  <c r="I25" i="5" s="1"/>
  <c r="H18" i="6"/>
  <c r="H17"/>
  <c r="H16"/>
  <c r="F16" s="1"/>
  <c r="H15"/>
  <c r="G41" l="1"/>
  <c r="E41" s="1"/>
  <c r="J40" i="5" s="1"/>
  <c r="F19" i="6"/>
  <c r="D19" s="1"/>
  <c r="G19"/>
  <c r="E19" s="1"/>
  <c r="G26"/>
  <c r="F26"/>
  <c r="G24"/>
  <c r="F24"/>
  <c r="G21"/>
  <c r="F21"/>
  <c r="G20"/>
  <c r="E20" s="1"/>
  <c r="F20"/>
  <c r="D20" s="1"/>
  <c r="F18"/>
  <c r="D18" s="1"/>
  <c r="G18"/>
  <c r="E18" s="1"/>
  <c r="F34"/>
  <c r="D34" s="1"/>
  <c r="F33"/>
  <c r="D33" s="1"/>
  <c r="G17"/>
  <c r="E17" s="1"/>
  <c r="F17"/>
  <c r="D17" s="1"/>
  <c r="G16"/>
  <c r="E16" s="1"/>
  <c r="D16"/>
  <c r="D12"/>
  <c r="G33"/>
  <c r="E33" s="1"/>
  <c r="G34"/>
  <c r="E34" s="1"/>
  <c r="F15"/>
  <c r="D15" s="1"/>
  <c r="G15"/>
  <c r="E15" s="1"/>
  <c r="G39"/>
  <c r="F39"/>
  <c r="G45"/>
  <c r="F45"/>
  <c r="K40" i="5" l="1"/>
  <c r="K37" s="1"/>
  <c r="M40"/>
  <c r="M37" s="1"/>
  <c r="I40"/>
  <c r="I37" s="1"/>
  <c r="J37"/>
  <c r="L40"/>
  <c r="L37" s="1"/>
  <c r="N40"/>
  <c r="N37" s="1"/>
  <c r="K17"/>
  <c r="M17"/>
  <c r="I17"/>
  <c r="J17"/>
  <c r="L17"/>
  <c r="N17"/>
  <c r="K11"/>
  <c r="L11"/>
  <c r="I11"/>
  <c r="M11"/>
  <c r="J11"/>
  <c r="N11"/>
  <c r="L32"/>
  <c r="I32"/>
  <c r="M32"/>
  <c r="J32"/>
  <c r="N32"/>
  <c r="K32"/>
  <c r="N18"/>
  <c r="L18"/>
  <c r="J18"/>
  <c r="M18"/>
  <c r="I18"/>
  <c r="K18"/>
  <c r="N14"/>
  <c r="L14"/>
  <c r="J14"/>
  <c r="M14"/>
  <c r="I14"/>
  <c r="K14"/>
  <c r="L15"/>
  <c r="M15"/>
  <c r="J15"/>
  <c r="N15"/>
  <c r="K15"/>
  <c r="K16"/>
  <c r="L16"/>
  <c r="M16"/>
  <c r="J16"/>
  <c r="N16"/>
  <c r="J33"/>
  <c r="N33"/>
  <c r="K33"/>
  <c r="L33"/>
  <c r="I33"/>
  <c r="M33"/>
  <c r="N19"/>
  <c r="L19"/>
  <c r="J19"/>
  <c r="K19"/>
  <c r="M19"/>
  <c r="I19"/>
  <c r="N27"/>
  <c r="N24" s="1"/>
  <c r="L27"/>
  <c r="L24" s="1"/>
  <c r="J27"/>
  <c r="J24" s="1"/>
  <c r="M27"/>
  <c r="I27"/>
  <c r="I24" s="1"/>
  <c r="K27"/>
  <c r="K24" s="1"/>
  <c r="I15"/>
  <c r="I16"/>
  <c r="M24" l="1"/>
  <c r="N28"/>
  <c r="M28"/>
  <c r="L28"/>
  <c r="K28"/>
  <c r="J28"/>
  <c r="I28"/>
  <c r="I6"/>
  <c r="L6"/>
  <c r="N6"/>
  <c r="N13"/>
  <c r="K13"/>
  <c r="M13"/>
  <c r="J6"/>
  <c r="K6"/>
  <c r="J13"/>
  <c r="L13"/>
  <c r="I13"/>
  <c r="M6"/>
  <c r="D23" i="3" l="1"/>
  <c r="J5" i="5"/>
  <c r="D8" i="3" s="1"/>
  <c r="D16"/>
  <c r="D26"/>
  <c r="I5" i="5"/>
  <c r="D7" i="3" s="1"/>
  <c r="D21"/>
  <c r="D15"/>
  <c r="D25"/>
  <c r="L5" i="5"/>
  <c r="D10" i="3" s="1"/>
  <c r="D19"/>
  <c r="D29"/>
  <c r="D14"/>
  <c r="D24"/>
  <c r="K5" i="5"/>
  <c r="D9" i="3" s="1"/>
  <c r="D18"/>
  <c r="D17"/>
  <c r="D27"/>
  <c r="N5" i="5"/>
  <c r="D12" i="3" s="1"/>
  <c r="D22"/>
  <c r="M5" i="5"/>
  <c r="D11" i="3" s="1"/>
  <c r="D28"/>
  <c r="D13"/>
  <c r="F8" l="1"/>
  <c r="E10" i="1"/>
  <c r="F10" i="3"/>
  <c r="F7"/>
  <c r="E7" i="1"/>
  <c r="D6" i="3"/>
  <c r="G11" s="1"/>
  <c r="H11" s="1"/>
  <c r="F9"/>
  <c r="E9" i="1"/>
  <c r="E8"/>
  <c r="F12" i="3"/>
  <c r="E12" i="1"/>
  <c r="E11"/>
  <c r="F11" i="3"/>
  <c r="F25"/>
  <c r="F22"/>
  <c r="F29"/>
  <c r="F15"/>
  <c r="F16"/>
  <c r="F14"/>
  <c r="F18"/>
  <c r="F19"/>
  <c r="F21"/>
  <c r="F17"/>
  <c r="F26"/>
  <c r="F13"/>
  <c r="F28"/>
  <c r="F27"/>
  <c r="F24"/>
  <c r="F23"/>
  <c r="E21" i="1"/>
  <c r="E28"/>
  <c r="E27"/>
  <c r="E22"/>
  <c r="D20" i="3"/>
  <c r="E29" i="1"/>
  <c r="E18"/>
  <c r="E19"/>
  <c r="E24"/>
  <c r="E23"/>
  <c r="E13"/>
  <c r="E17"/>
  <c r="E26"/>
  <c r="G7" i="3" l="1"/>
  <c r="G8"/>
  <c r="H8" s="1"/>
  <c r="G10"/>
  <c r="H10" s="1"/>
  <c r="G12"/>
  <c r="H12" s="1"/>
  <c r="G18"/>
  <c r="H18" s="1"/>
  <c r="G14"/>
  <c r="H14" s="1"/>
  <c r="G24"/>
  <c r="H24" s="1"/>
  <c r="G21"/>
  <c r="H21" s="1"/>
  <c r="G16"/>
  <c r="H16" s="1"/>
  <c r="G22"/>
  <c r="H22" s="1"/>
  <c r="G17"/>
  <c r="H17" s="1"/>
  <c r="G23"/>
  <c r="H23" s="1"/>
  <c r="G27"/>
  <c r="H27" s="1"/>
  <c r="G19"/>
  <c r="H19" s="1"/>
  <c r="G15"/>
  <c r="H15" s="1"/>
  <c r="G26"/>
  <c r="H26" s="1"/>
  <c r="H7"/>
  <c r="G28"/>
  <c r="H28" s="1"/>
  <c r="G9"/>
  <c r="H9" s="1"/>
  <c r="G29"/>
  <c r="H29" s="1"/>
  <c r="G25"/>
  <c r="H25" s="1"/>
  <c r="G13"/>
  <c r="H13" s="1"/>
  <c r="C25" i="1"/>
  <c r="E25"/>
  <c r="C23"/>
  <c r="C24"/>
  <c r="C21"/>
  <c r="C28"/>
  <c r="C26"/>
  <c r="C29"/>
  <c r="C22"/>
  <c r="C27"/>
  <c r="E14"/>
  <c r="E15"/>
  <c r="E16"/>
  <c r="I7" i="3" l="1"/>
  <c r="I11"/>
  <c r="I10"/>
  <c r="I9"/>
  <c r="I8"/>
  <c r="I12"/>
  <c r="I21" i="1"/>
  <c r="I22"/>
  <c r="I23"/>
  <c r="I24"/>
  <c r="I25"/>
  <c r="I26"/>
  <c r="I27"/>
  <c r="I28"/>
  <c r="I29"/>
  <c r="G22"/>
  <c r="G24"/>
  <c r="G26"/>
  <c r="G28"/>
  <c r="G21"/>
  <c r="H22"/>
  <c r="H23"/>
  <c r="H24"/>
  <c r="H25"/>
  <c r="H26"/>
  <c r="H27"/>
  <c r="H28"/>
  <c r="H29"/>
  <c r="H21"/>
  <c r="G23"/>
  <c r="G25"/>
  <c r="G27"/>
  <c r="G29"/>
  <c r="C16"/>
  <c r="C7"/>
  <c r="C10"/>
  <c r="C12"/>
  <c r="C15"/>
  <c r="C19"/>
  <c r="C17"/>
  <c r="C13"/>
  <c r="C14"/>
  <c r="C9"/>
  <c r="C8"/>
  <c r="C18"/>
  <c r="C11"/>
  <c r="I7" l="1"/>
  <c r="G8"/>
  <c r="H10"/>
  <c r="H11"/>
  <c r="H14"/>
  <c r="H15"/>
  <c r="H16"/>
  <c r="H17"/>
  <c r="H18"/>
  <c r="H19"/>
  <c r="G10"/>
  <c r="I10"/>
  <c r="G11"/>
  <c r="I11"/>
  <c r="G14"/>
  <c r="I14"/>
  <c r="G15"/>
  <c r="I15"/>
  <c r="G16"/>
  <c r="I16"/>
  <c r="G17"/>
  <c r="I17"/>
  <c r="G18"/>
  <c r="I18"/>
  <c r="G19"/>
  <c r="I19"/>
  <c r="H12"/>
  <c r="G12"/>
  <c r="G9"/>
  <c r="H8"/>
  <c r="H7"/>
  <c r="I12"/>
  <c r="H13"/>
  <c r="G13"/>
  <c r="H9"/>
  <c r="G7"/>
  <c r="I13"/>
  <c r="I9"/>
  <c r="I8"/>
  <c r="I19" i="3" l="1"/>
  <c r="I18"/>
  <c r="I17"/>
  <c r="I13"/>
  <c r="I15"/>
  <c r="I30"/>
  <c r="I14"/>
  <c r="I16"/>
  <c r="I22"/>
  <c r="I24"/>
  <c r="I26"/>
  <c r="I28"/>
  <c r="I21"/>
  <c r="I23"/>
  <c r="I25"/>
  <c r="I27"/>
  <c r="I29"/>
  <c r="F29" i="1" l="1"/>
  <c r="F25"/>
  <c r="F21"/>
  <c r="F26"/>
  <c r="F22"/>
  <c r="F12"/>
  <c r="F14"/>
  <c r="F7"/>
  <c r="F15"/>
  <c r="F17"/>
  <c r="F27"/>
  <c r="F23"/>
  <c r="F28"/>
  <c r="F24"/>
  <c r="F16"/>
  <c r="F8"/>
  <c r="F10"/>
  <c r="F11"/>
  <c r="F13"/>
  <c r="F18"/>
  <c r="F9"/>
  <c r="F19"/>
  <c r="F6" l="1"/>
  <c r="J21"/>
  <c r="J17"/>
  <c r="J28"/>
  <c r="J12"/>
  <c r="J8"/>
  <c r="J26"/>
  <c r="J14"/>
  <c r="J22"/>
  <c r="J24"/>
  <c r="J19"/>
  <c r="J9"/>
  <c r="J11"/>
  <c r="J7"/>
  <c r="J15"/>
  <c r="J29"/>
  <c r="J23"/>
  <c r="J25"/>
  <c r="F20"/>
  <c r="J13"/>
  <c r="J10"/>
  <c r="J16"/>
  <c r="J18"/>
  <c r="J27"/>
</calcChain>
</file>

<file path=xl/sharedStrings.xml><?xml version="1.0" encoding="utf-8"?>
<sst xmlns="http://schemas.openxmlformats.org/spreadsheetml/2006/main" count="415" uniqueCount="246">
  <si>
    <t>№ п/п</t>
  </si>
  <si>
    <t>Радужный</t>
  </si>
  <si>
    <t>Когалым</t>
  </si>
  <si>
    <t>Лангепас</t>
  </si>
  <si>
    <t>Нягань</t>
  </si>
  <si>
    <t>Пыть-Ях</t>
  </si>
  <si>
    <t>Покачи</t>
  </si>
  <si>
    <t>Югорск</t>
  </si>
  <si>
    <t>Белоярский</t>
  </si>
  <si>
    <t>Березовский</t>
  </si>
  <si>
    <t>Кондинский</t>
  </si>
  <si>
    <t>Октябрьский</t>
  </si>
  <si>
    <t>Сургутский</t>
  </si>
  <si>
    <t>Советский</t>
  </si>
  <si>
    <t>Ханты-Мансийский</t>
  </si>
  <si>
    <t>Нижневартовский</t>
  </si>
  <si>
    <t>Нефтеюганский</t>
  </si>
  <si>
    <t>Индикатор</t>
  </si>
  <si>
    <t>Формула расчета</t>
  </si>
  <si>
    <t>Нижнее пороговое значение</t>
  </si>
  <si>
    <t>Верхнее пороговое значение</t>
  </si>
  <si>
    <t>I. Планирование бюджета</t>
  </si>
  <si>
    <t>II. Исполнение бюджета</t>
  </si>
  <si>
    <t>III. Долговая политика</t>
  </si>
  <si>
    <t>MIN</t>
  </si>
  <si>
    <t>MAX</t>
  </si>
  <si>
    <t>1.1</t>
  </si>
  <si>
    <t>1.2</t>
  </si>
  <si>
    <t>1.3</t>
  </si>
  <si>
    <t>1.4</t>
  </si>
  <si>
    <t>1.5</t>
  </si>
  <si>
    <t>1.6</t>
  </si>
  <si>
    <t>Сводная оценка качества</t>
  </si>
  <si>
    <t>Оценки и рейтинг</t>
  </si>
  <si>
    <t>Распределение дотаций</t>
  </si>
  <si>
    <t>Итого</t>
  </si>
  <si>
    <t>Рейтинг</t>
  </si>
  <si>
    <t>№ в рейтинге</t>
  </si>
  <si>
    <t>Размер дотации (тыс.руб.)</t>
  </si>
  <si>
    <t>Превышение среднего уровня сводной оценки качества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</si>
  <si>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</si>
  <si>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</si>
  <si>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</si>
  <si>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</si>
  <si>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</si>
  <si>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</si>
  <si>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</si>
  <si>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</si>
  <si>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</si>
  <si>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</si>
  <si>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3.1</t>
  </si>
  <si>
    <t>3.2</t>
  </si>
  <si>
    <t>4.1</t>
  </si>
  <si>
    <t>4.2</t>
  </si>
  <si>
    <t>4.3</t>
  </si>
  <si>
    <t>4.4</t>
  </si>
  <si>
    <t>4.5</t>
  </si>
  <si>
    <t>4.6</t>
  </si>
  <si>
    <t>4.7</t>
  </si>
  <si>
    <t>5.1</t>
  </si>
  <si>
    <t>5.2</t>
  </si>
  <si>
    <t>5.3</t>
  </si>
  <si>
    <t>5.4</t>
  </si>
  <si>
    <t>5.5</t>
  </si>
  <si>
    <t>Итоговая сводная оценка качества</t>
  </si>
  <si>
    <t>Количество нарушений бюджетного законодательства</t>
  </si>
  <si>
    <t>Итого нарушений</t>
  </si>
  <si>
    <t>Направление изменения индикатора, соответствующее повышению оценки качества (1 - увеличение; 0 - уменьшение)</t>
  </si>
  <si>
    <t>Учитывать индикатор в сводной оценке (1 - учитывать; 0 - не учитывать)</t>
  </si>
  <si>
    <t>1</t>
  </si>
  <si>
    <t>2</t>
  </si>
  <si>
    <t>3</t>
  </si>
  <si>
    <t>4</t>
  </si>
  <si>
    <t>ВЕС</t>
  </si>
  <si>
    <t>5.6</t>
  </si>
  <si>
    <t>5.7</t>
  </si>
  <si>
    <t>Наименование показателя</t>
  </si>
  <si>
    <t>Индикатор для оценки</t>
  </si>
  <si>
    <t>НАРУШЕНИЯ БЮДЖЕТНОГО КОДЕКСА</t>
  </si>
  <si>
    <t>Высокодотационное муниципальное образование (в соответствии с ч. 4 ст. 136 БК РФ)</t>
  </si>
  <si>
    <t>Уровень долговой нагрузки на местный бюджет</t>
  </si>
  <si>
    <t>3.3</t>
  </si>
  <si>
    <t>Е2 = З / (Деф + Пог)*100,
где:
З – объем заимствований муниципального образования в отчетном финансовом году;
Деф – сумма, направленная в отчетном финансовом году на финансирование дефицита бюджета муниципального образования;
Пог – сумма, направленная в отчетном финансовом году на погашение долговых обязательств бюджета муниципального образования</t>
  </si>
  <si>
    <t>5</t>
  </si>
  <si>
    <t>E3 = ОД / Р*100,
где:
ОД – объем расходов бюджета муниципального образования на обслуживание муниципального долга в отчетном финансовом году;
Р – общий объем расходов бюджета муниципального образования в отчетном финансовом году, за исключением объема расходов, которые осуществляются за счет субвенций, предоставляемых из бюджетов бюджетной системы Российской Федерации в отчетном финансовом году</t>
  </si>
  <si>
    <t>E4 = Деф / СД*100,
где:
Деф – объем дефицита бюджета муниципального образования в отчетном финансовом году;
СД – объем доходов бюджета муниципального образования без учета безвозмездных поступлений и поступлений налоговых доходов по дополнительным нормативам отчислений в отчетном финансовом году</t>
  </si>
  <si>
    <t>E5 = МД / СД*100,
где:
МД – объем муниципального долга бюджета муниципального образования на 1 января текущего финансового года;
СД – объем доходов бюджета муниципального образования без учета безвозмездных поступлений и поступлений налоговых доходов по дополнительным нормативам отчислений в отчетном финансовом году</t>
  </si>
  <si>
    <t>Наличие муниципального правового акта о проведении ежегодной оценки эффективности предоставленных (планируемых к предоставлению) налоговых льгот и ставок налогов, установленных (планируемых к установлению) представительным органом местного самоуправления муниципального образования</t>
  </si>
  <si>
    <t>наличие / отсутствие
(наличие: И14 = 1
отсутствие: И14 = 0)</t>
  </si>
  <si>
    <t>наличие / отсутствие
(наличие: И210 = 1,
отсутствие: И210 = 0)</t>
  </si>
  <si>
    <t>выполняется / не выполняется
(выполняется: И42 = 1,
не выполняется: И42 = 0)</t>
  </si>
  <si>
    <t>наличие / отсутствие
(наличие:  И43 = 1,
отсутствие: И43 = 0)</t>
  </si>
  <si>
    <t>изучается / не изучается
(изучается: И46 = 1,
не изучается: И46 = 0)</t>
  </si>
  <si>
    <t>V. Открытость бюджетного процесса</t>
  </si>
  <si>
    <t>размещается / не размещается
(размещается: И51 = 1,
не размещается: И51 = 0)</t>
  </si>
  <si>
    <t>размещаются / не размещаются
(размещаются: И52 = 1,
не размещаются: И52 = 0)</t>
  </si>
  <si>
    <t>размещается / не размещается
(размещается: И54 = 1,
не размещается: И54 = 0)</t>
  </si>
  <si>
    <t>проводятся / не проводятся
(проводятся: И55 = 1,
не проводятся: И55 = 0)</t>
  </si>
  <si>
    <t>размещается / не размещается
(размещается: И56 = 1,
не размещается: И56 = 0)</t>
  </si>
  <si>
    <t>Средняя сводная оценка качества по муниципальным районам</t>
  </si>
  <si>
    <t>Таблица 6</t>
  </si>
  <si>
    <t>4.8</t>
  </si>
  <si>
    <t>наличие / отсутствие
(наличие: И28 = 0,
отсутствие: И28 = 1)</t>
  </si>
  <si>
    <t>Отсутствие просроченной задолженности по долговым обязательствам</t>
  </si>
  <si>
    <t>наличие / отсутствие
(наличие: И31 = 0,
отсутствие: И31 = 1)</t>
  </si>
  <si>
    <t>соблюдается</t>
  </si>
  <si>
    <t>&lt;=100%</t>
  </si>
  <si>
    <t>&lt;=15%</t>
  </si>
  <si>
    <t>&lt;=10 (5*)%</t>
  </si>
  <si>
    <t>&lt;=100 (50*)%</t>
  </si>
  <si>
    <t xml:space="preserve">*Для муниципальных образований, в отношении которых осуществляются меры, предусмотренные пунктом 4 статьи 136 Бюджетного кодекса Российской Федерации.
</t>
  </si>
  <si>
    <t xml:space="preserve">наличие / отсутствие
(наличие: И27 = 0,
отсутствие: И27 = 1)
</t>
  </si>
  <si>
    <t xml:space="preserve">наличие / отсутствие
(наличие: И32 = 0,
отсутствие: И32 = 1)
</t>
  </si>
  <si>
    <t>Соблюдается / не соблюдается
Соблюдается: E1 = 1
Не соблюдается: E1 = 0</t>
  </si>
  <si>
    <t>Таблица 5</t>
  </si>
  <si>
    <t>5.8</t>
  </si>
  <si>
    <t xml:space="preserve">наличие / отсутствие
(наличие: И58 = 1,
 отсутствие: И58 = 0)
</t>
  </si>
  <si>
    <t>наличие / отсутствие
(наличие: И16 = 0,
отсутствие: И16 = 1)</t>
  </si>
  <si>
    <t>IV. Оказание муниципальных услуг (выполнение работ)</t>
  </si>
  <si>
    <t>Доля руководителей муниципальных учреждений муниципального образования, для которых оплата труда определяется с учетом результатов их профессиональной деятельности</t>
  </si>
  <si>
    <t>Доля муниципальных учреждений, для которых установлены количественно измеримые финансовые санкции (штрафы, изъятия) за нарушение условий выполнения  муниципального заданий</t>
  </si>
  <si>
    <t>Общее количество муниципальных учреждений, которым установлены муниципальные задания в отчетном финансовом году</t>
  </si>
  <si>
    <t>Изучение мнения населения о качестве оказания муниципальных услуг (выполнения работ) в соответствии с установленным порядком</t>
  </si>
  <si>
    <t>наличие / отсутствие
(наличие:  И47 = 1,
отсутствие: И47 = 0)</t>
  </si>
  <si>
    <t>до 1 января очередного финансового года / после 1 января очередного финансового года
(до 1 января: И12 = 1
после 1 января: И12 = 0)</t>
  </si>
  <si>
    <t>**В случае, если решением о бюджете утверждены такие источники финансирования дефицита бюджета, как поступления от продажи акций и иных форм участия в капитале, находящихся в собственности муниципального образования, и снижение остатков средств на счетах по учету средств местного бюджета в пределах суммы указанных поступлений и снижения остатков средств на счетах по учету средств местного бюджета, а также разница между полученными и погашенными муниципальным образованием бюджетными кредитами, предоставленными местному бюджету другими бюджетами бюджетной системы Российской Федерации, то указывается часть дефицита, не покрываемая за счет указанных источников. Если дефицит покрывается полностью, указывается 0.</t>
  </si>
  <si>
    <t>***В случае, если решением о бюджете утверждены такие источники финансирования дефицита бюджета, как разница между полученными и погашенными муниципальным образованием бюджетными кредитами, предоставленными местному бюджету другими бюджетами бюджетной системы Российской Федерации, то указывается часть дефицита, не покрываемая за счет указанных источников.</t>
  </si>
  <si>
    <t>Наличие результатов контроля за исполнением муниципальных заданий на предоставление муниципальных услуг юридическим и физическим лицам в соответствии с порядком, утвержденным муниципальным правовым актом</t>
  </si>
  <si>
    <t>Наличие информации муниципального правового акта, результатов оценки, контроля, мониторинга, и т.д.) на официальном сайте органов местного самоуправления в сети Интернет в отчетном финансовом году</t>
  </si>
  <si>
    <t>Наличие на официальном сайте органов местного самоуправления информационного ресурса (брошюры) «Бюджет для граждан» за отчетный финансовый год</t>
  </si>
  <si>
    <t>VI. Выполнение Указов Президента Российской Федерации от 7 мая 2012 года № 597 "О мероприятиях по реализации государственной социальной политики", от 1 июня 2012 года № 761 «О Национальной стратегии действий в интересах детей на 2012-2017 годы»</t>
  </si>
  <si>
    <t>6.1</t>
  </si>
  <si>
    <t>6.2</t>
  </si>
  <si>
    <t>6.3</t>
  </si>
  <si>
    <t>VI. Выполнение Указов Президента Российской Федерации от 7 мая 2012 года № 597 "О мероприятиях по реализации государственной социальной политики", от 1 июня 2012 года № 761 "О Национальной стратегии действий в интересах детей на 2012-2017 годы"</t>
  </si>
  <si>
    <t>достигается / не достигается
(достигается: И61 = 1,
не достигается: И61 = 0)</t>
  </si>
  <si>
    <t>достигается / не достигается
(достигается: И62 = 1,
не достигается: И62 = 0)</t>
  </si>
  <si>
    <t>достигается / не достигается
(достигается: И63 = 1,
не достигается: И63 = 0)</t>
  </si>
  <si>
    <t>Достижение муниципальным образованием автономного округа целевого значения показателя по средней заработной плате работников муниципальных учреждений культуры, в соответствии с целевым значением, установленным Департаментом культуры автономного округа для i-муниципального образования (с учётом муниципальной специфики), в целях реализации регионального Плана мероприятий («дорожной карты) «Изменения в отраслях социальной сферы, направленные на повышение эффективности сферы культуры в Ханты-Мансийском автономном округе – Югре»</t>
  </si>
  <si>
    <t>Достижение муниципальным образованием автономного округа целевого значения показателя по средней заработной плате педагогических работников муниципальных образовательных организаций дополнительного образования детей, в соответствии с целевым значением, установленным Департаментом образования и молодёжной политики автономного округа для i-муниципального образования (с учётом муниципальной специфики), в целях реализации регионального Плана мероприятий («дорожной карты) «Изменения в отраслях социальной сферы, направленные на повышение эффективности сферы образования и науки в Ханты-Мансийском автономном округе – Югре»</t>
  </si>
  <si>
    <t>Достижение муниципальным образованием автономного округа целевого значения показателя по средней заработной плате педагогических работников муниципальных дошкольных образовательных организаций, в соответствии с целевым значением, установленным Департаментом образования и молодёжной политики автономного округа для i-муниципального образования (с учётом муниципальной специфики), в целях реализации регионального Плана мероприятий («дорожной карты) «Изменения в отраслях социальной сферы, направленные на повышение эффективности сферы образования и науки в Ханты-Мансийском автономном округе – Югре»</t>
  </si>
  <si>
    <t>6.4</t>
  </si>
  <si>
    <t>Достижение муниципальным образованием автономного округа целевого значения показателя по средней заработной плате педагогических работников муниципальных общеобразовательных организаций, в соответствии с целевым значением, установленным Департаментом образования и молодёжной политики автономного округа для i-муниципального образования (с учётом муниципальной специфики), в целях реализации регионального Плана мероприятий («дорожной карты) «Изменения в отраслях социальной сферы, направленные на повышение эффективности сферы образования и науки в Ханты-Мансийском автономном округе – Югре»</t>
  </si>
  <si>
    <t xml:space="preserve">достигается / не достигается
(достигается: И64= 1,
не достигается: И64 = 0)
</t>
  </si>
  <si>
    <r>
      <t xml:space="preserve">Рейтинг по </t>
    </r>
    <r>
      <rPr>
        <sz val="11"/>
        <rFont val="Times New Roman"/>
        <family val="1"/>
        <charset val="204"/>
      </rPr>
      <t>сводной оценке</t>
    </r>
  </si>
  <si>
    <t>Березово</t>
  </si>
  <si>
    <t>Игрим</t>
  </si>
  <si>
    <t>Саранпауль</t>
  </si>
  <si>
    <t>Светлый</t>
  </si>
  <si>
    <t>Приполярный</t>
  </si>
  <si>
    <t>Хулимсунт</t>
  </si>
  <si>
    <t>Своевременность предоставления проекта бюджета на  очередной финансовый год и плановый период в представительный орган</t>
  </si>
  <si>
    <t>Своевременность утверждения решения о бюджете на очередной финансовый год и плановый период</t>
  </si>
  <si>
    <t xml:space="preserve">Исполнение бюджета поселения по доходам без учета безвозмездных поступлений </t>
  </si>
  <si>
    <t xml:space="preserve">Объем, первоначально утвержденный решением о бюджете поселения налоговых доходов  бюджета муниципального образования </t>
  </si>
  <si>
    <t xml:space="preserve">Объем, первоначально утвержденный решением о бюджете поселения неналоговых доходов  бюджета муниципального образования </t>
  </si>
  <si>
    <t>Объем налоговых доходов бюджета поселения в отчетном финансовом году</t>
  </si>
  <si>
    <t>Объем неналоговых доходов бюджета поселения в отчетном финансовом году</t>
  </si>
  <si>
    <t>Доля расходов бюджета поселения, формируемых в рамках муниципальных программ в общем объеме расходов бюджета (за исключением расходов, осуществляемых за счет иных межбюджетных трансфертов, предоставляемых в рамках муниципальных программ)</t>
  </si>
  <si>
    <t>Расходы бюджета поселения, формируемые в рамках муниципальных программ  в отчетном финансовом году</t>
  </si>
  <si>
    <t>Общий объем расходов бюджета поселения, осуществляемых за счет иных межбюджетных трансфертов, предоставляемых в рамках муниципальных программ в отчетном финансовом году</t>
  </si>
  <si>
    <t xml:space="preserve">Объем планируемых к привлечению бюджетных кредитов от других бюджетов бюджетной системы, предусмотренных в качестве источника финансирования дефицита бюджетов муниципального образования </t>
  </si>
  <si>
    <t>Количество изменений, внесенных в решение о бюджете поселения в отчетном финансовом году</t>
  </si>
  <si>
    <t>Темп роста поступлений налоговых доходов бюджета поселения (без учета налоговых доходов по дополнительным нормативам отчислений) к соответствующему периоду прошлого года</t>
  </si>
  <si>
    <t>Объем налоговых доходов бюджета поселения (без учета налоговых доходов по дополнительным нормативам отчислений) в отчетном финансовом году</t>
  </si>
  <si>
    <t>Объем налоговых доходов бюджета поселения (без учета налоговых доходов по дополнительным нормативам отчислений) в году, предшествующем отчетному финансовому году</t>
  </si>
  <si>
    <t>Темп роста поступлений неналоговых доходов бюджета поселения к соответствующему периоду прошлого года</t>
  </si>
  <si>
    <t>Объем неналоговых доходов бюджета поселения в году, предшествующем отчетному финансовому году</t>
  </si>
  <si>
    <t>Отношение сумм финансовых нарушений, выявленных по актам ревизии, проверок к расходам бюджета поселения</t>
  </si>
  <si>
    <t>Отношение объема расходов бюджета поселения в IV квартале к среднему объему расходов за I – III кварталы (без учета расходов, осуществляемых за счет субсидий, субвенций и иных межбюджетных трансфертов,  имеющих целевое назначение из бюджета района)</t>
  </si>
  <si>
    <t xml:space="preserve">Объем расходов бюджета поселения в первом квартале отчетного финансового года  (без учета расходов, осуществляемых за счет субсидий, субвенций и иных межбюджетных трансфертов, имеющих целевое назначение, поступивших из бюджета автономного округа)
</t>
  </si>
  <si>
    <t>Объем расходов бюджета поселения в первом квартале отчетного финансового года</t>
  </si>
  <si>
    <t>Объем расходов бюджета поселения  в первом квартале отчетного финансового года, осуществляемых за счет субсидий, субвенций и иных межбюджетных трансфертов, имеющих целевое назначение, поступивших из бюджета автономного округа</t>
  </si>
  <si>
    <t>Объем расходов бюджета поселения  во втором квартале отчетного финансового года   (без учета расходов, осуществляемых за счет субсидий, субвенций и иных межбюджетных трансфертов, имеющих целевое назначение, поступивших из бюджета автономного округа)</t>
  </si>
  <si>
    <t>Объем расходов бюджета поселения во втором квартале отчетного финансового года</t>
  </si>
  <si>
    <t>Объем расходов бюджета поселения во втором квартале отчетного финансового года, осуществляемых за счет субсидий, субвенций и иных межбюджетных трансфертов, имеющих целевое назначение, поступивших из бюджета автономного округа</t>
  </si>
  <si>
    <t>Объем расходов бюджета поселения  в третьем квартале отчетного финансового года   (без учета расходов, осуществляемых за счет субсидий, субвенций и иных межбюджетных трансфертов, имеющих целевое назначение, поступивших из бюджета автономного округа)</t>
  </si>
  <si>
    <t>Объем расходов бюджета поселения  в третьем квартале отчетного финансового года</t>
  </si>
  <si>
    <t>Объем расходов бюджета поселения в третьем квартале отчетного финансового года, осуществляемых за счет субсидий, субвенций и иных межбюджетных трансфертов, имеющих целевое назначение, поступивших из бюджета автономного округа</t>
  </si>
  <si>
    <t>Объем расходов бюджета поселения в четвертом квартале отчетного финансового года   (без учета расходов, осуществляемых за счет субсидий, субвенций и иных межбюджетных трансфертов, имеющих целевое назначение, поступивших из бюджета автономного округа)</t>
  </si>
  <si>
    <t>Объем расходов бюджета поселения в четвертом квартале отчетного финансового года</t>
  </si>
  <si>
    <t>Объем расходов бюджета поселения в четвертом квартале отчетного финансового года, осуществляемых за счет субсидий, субвенций и иных межбюджетных трансфертов, имеющих целевое назначение, поступивших из бюджета автономного округа</t>
  </si>
  <si>
    <t>Доля расходов бюджета поселения на компенсацию предприятиям жилищно-коммунальной сферы разницы между экономически обоснованными тарифами и тарифами, установленными для населения, и на покрытие убытков предприятий жилищно-коммунального хозяйства, в общем объеме расходов бюджета поселения</t>
  </si>
  <si>
    <t>Объем расходов бюджета поселения в отчетном финансовом году на компенсацию предприятиям жилищно-коммунальной сферы разницы между экономически обоснованными тарифами и тарифами, установленными для населения, и на покрытие убытков предприятий жилищно-коммунального хозяйства</t>
  </si>
  <si>
    <t xml:space="preserve">Отсутствие просроченной кредиторской задолженности бюджета поселения в отчетном финансовом году на отчетные даты </t>
  </si>
  <si>
    <t>Отсутствие просроченной кредиторской задолженности бюджета поселения по выплате заработной платы за счет средств местного бюджета</t>
  </si>
  <si>
    <t>Количество передвижек в сводной бюджетной росписи, произведенных в отчетном году</t>
  </si>
  <si>
    <t>Отсутствие выплат поселением по предоставленным муниципальным гарантиям в отчетном финансовом году</t>
  </si>
  <si>
    <t>Объем муниципального долга бюджета  поселения на 1 января текущего финансового года</t>
  </si>
  <si>
    <t>Объем  доходов поселения в отчетном финансовом году (за исключением субвенций, предоставляемых из бюджета автономного округа)</t>
  </si>
  <si>
    <t>Количество руководителей муниципальных учреждений поселения, для которых оплата труда определяется с учетом результатов их профессиональной деятельности</t>
  </si>
  <si>
    <t>Количество руководителей муниципальных учреждений поселения</t>
  </si>
  <si>
    <t>Осуществление мониторинга оказания муниципальных услуг (выполнения работ) и формирование планов по решению выявленных проблем в соответствии с нормативным правовым актом поселения в сферах  культуры,  физической культуры и спорта</t>
  </si>
  <si>
    <t>Наличие муниципального правового акта, устанавливающего стандарты предоставления муниципальных услуг (выполнения работ) юридическим и физическим лицам по перечню муниципальных услуг в сферах  культуры, физической культуры и спорта</t>
  </si>
  <si>
    <t>Количество муниципальных учреждений в поселении, для которых установлены количественно измеримые финансовые санкции (штрафы, изъятия) за нарушение условий выполнения муниципальных заданий  в отчетном финансовом году</t>
  </si>
  <si>
    <t>Удельный вес муниципальных учреждений, выполнивших муниципальное задание на 100%, в общем количестве муниципальных учреждений поселения, которым установлены муниципальные задания</t>
  </si>
  <si>
    <t>Количество муниципальных учреждений в поселении, выполнивших государственное задание на 100% в отчетном финансовом году</t>
  </si>
  <si>
    <t>Наличие муниципальных правовых актов, устанавливающих нормативы финансовых затрат на предоставление муниципальных услуг (выполнение работ) в сферах культуры,  физической культуры и спорта</t>
  </si>
  <si>
    <t>Доля бюджетных расходов на финансовое обеспечение оказания бюджетными и автономными учреждениями муниципальных услуг (выполнения работ), рассчитанных исходя из нормативов финансовых затрат в сферах  культуры, физической культуры и спорта</t>
  </si>
  <si>
    <t>Объем расходов бюджета муниципального образования в отчетном финансовом году на финансовое обеспечение оказания бюджетными и автономными учреждениями муниципальных услуг (выполнения работ), рассчитанных исходя из нормативов финансовых затрат, в сферах  культуры,  физической культуры и спорта</t>
  </si>
  <si>
    <t>Объем расходов бюджета поселения в отчетном финансовом году на финансовое обеспечение оказания бюджетными и автономными учреждениями муниципальных услуг (выполнения работ) в сферах культуры,  физической культуры и спорта</t>
  </si>
  <si>
    <t>Размещение на официальном сайте органов местного самоуправления решения о бюджете, отчета об исполнении бюджета за отчетный финансовый год</t>
  </si>
  <si>
    <t>Ежемесячное размещение на официальном сайте органов местного самоуправления отчетов об исполнении бюджета поселения за отчетный финансовый год</t>
  </si>
  <si>
    <t>Размещение муниципальных правовых актов, документов и материалов, указанных в пунктах 1.4, 2.10, 4.2, 4.3, 4.6, 4.7, 5.5 настоящей Таблицы, на официальных сайтах органов местного самоуправления</t>
  </si>
  <si>
    <t>Размещение на официальном сайте органов местного самоуправления проектов нормативных правовых актов поселения в соответствии с порядком проведения независимой антикоррупционной экспертизы за отчетный финансовый год</t>
  </si>
  <si>
    <t>Проведение публичных слушаний по проекту бюджета поселения и проекту отчета об исполнении бюджета поселения в соответствии с установленным порядком за отчетный финансовый год</t>
  </si>
  <si>
    <t>Размещение на официальном сайте органов местного самоуправления информации о муниципальных программах поселения и фактических результатах их реализации, а также о соответствии целей и задач этих программ стратегии либо программе социально-экономического развития поселения за отчетный финансовый год</t>
  </si>
  <si>
    <t>Своевременность, объекивность и достоверность представления бюджетной отчетности в Комитет по финансам за отчетный финансовый год</t>
  </si>
  <si>
    <t>Соблюдение установленных нормативов формирования расходов на содержание органов местного самоуправления поселений Березовского района  за отчетный финансовый год</t>
  </si>
  <si>
    <t>Отношение объема заимствований поселения в отчетном финансовом году к сумме, направляемой в отчетном финансовом году на финансирование дефицита бюджета и (или) погашение долговых обязательств местного бюджета</t>
  </si>
  <si>
    <t>Отношение объема расходов на обслуживание муниципального долга к  объему расходов бюджета поселения, за исключением объема расходов, которые осуществляются за счет субвенций, предоставляемых из бюджетов бюджетной системы Российской Федерации в отчетном финансовом году</t>
  </si>
  <si>
    <t xml:space="preserve">Отношение дефицита бюджета поселения к общему годовому объему доходов бюджета без учета безвозмездных поступлений и поступлений налоговых доходов по дополнительным нормативам отчислений в отчетном финансовом году**
</t>
  </si>
  <si>
    <t xml:space="preserve">Отношение объема муниципального долга поселения к общему годовому объему доходов бюджета муниципального образования без учета безвозмездных поступлений и поступлений налоговых доходов по дополнительным нормативам отчислений***
</t>
  </si>
  <si>
    <t>Соблюдение установленных нормативов формирования расходов на содержание органов местного самоуправления поселенийБерезовского района за отчетный финансовый год</t>
  </si>
  <si>
    <t>Отношение объема расходов на обслуживание муниципального долга к объему расходов бюджета поселения, за исключением объема расходов, которые осуществляются за счет субвенций, предоставляемых из бюджетов бюджетной системы Российской Федерации в отчетном финансовом году</t>
  </si>
  <si>
    <t>Отношение дефицита бюджета поселения к общему годовому объему доходов бюджета без учета объема безвозмездных поступлений и поступлений налоговых доходов по дополнительным нормативам отчислений в отчетном финансовом году</t>
  </si>
  <si>
    <t>Отношение объема муниципального долга поселения к общему годовому объему доходов бюджета муниципального образования без учета объема безвозмездных поступлений и поступлений налоговых доходов по дополнительным нормативам отчислений</t>
  </si>
  <si>
    <t>Средняя сводная оценка качества по поселениям</t>
  </si>
  <si>
    <t>Поселение</t>
  </si>
  <si>
    <t>наличие до 20 / наличие свыше 20
(наличие до 20: И29 = 1,
наличие свыше 20: И29  = 0)</t>
  </si>
  <si>
    <t xml:space="preserve">до 15 ноября текущего года / после 15 ноября текущего года
(до 15 ноября текущего года: И11 = 1
после 15 ноября текущего года: И11 = 0)
</t>
  </si>
  <si>
    <t>И13 = |Дисп – Дутв| / Дутв,
где:
Дисп – объем налоговых и неналоговых доходов  бюджета поселения в отчетном финансовом году;
Дутв – объем, первоначально утвержденный решением о бюджете поселения налоговых и неналоговых доходов  бюджета поселения</t>
  </si>
  <si>
    <t>И15 = РП / Р,
где
РП –  расходы бюджета поселения, формируемые в рамках муниципальных программ в отчетном финансовом году;
Р – общий объем расходов бюджета поселения (за исключением расходов, осуществляемых за счет иных межбюджетных трансфертов,предоставляемых в рамках муниципальных программ в отчетном финансовом году)</t>
  </si>
  <si>
    <t>И21 = КИ,                                                                                                                                                                                где:                                                                                                                                                                                                                  КИ – количество изменений, внесенных в решение о бюджете поселения в отчетном финансовом году</t>
  </si>
  <si>
    <t>И22 = НД/НД-1
где:
НД – объем налоговых доходов бюджета  поселения в отчетном финансовом году;
НД-1 – объем налоговых доходов бюджета поселения в году, предшествующем отчетному финансовому году</t>
  </si>
  <si>
    <t>И23 = ННД/ННД-1
где:
ННД – объем неналоговых доходов бюджета поселения в отчетном финансовом году;
ННД-1 – объем неналоговых доходов бюджета поселения в году, предшествующем отчетному финансовому году</t>
  </si>
  <si>
    <t>И24 = ФН / Р,
где ФН – объем финансовых нарушений, выявленных по актам ревизии в отчетном финансовом году                                                    Р - общий объем расходов бюджета поселения в отчетном финансовом году</t>
  </si>
  <si>
    <t>И25 = РК4/((РК1 + РК2 + РК3)/3),
где:
РК1, РК2, РК3, РК4 – объем расходов бюджета поселения в первом, втором, третьем и четвертом кварталах отчетного финансового года соответственно (без учета расходов, осуществляемых за счет субсидий, субвенций и иных межбюджетных трансфертов,  имеющих целевое назначение из бюджета района)</t>
  </si>
  <si>
    <t>И26 = КомпЖКУ / Р,
где:
КомпЖКУ –  объем расходов бюджета поселения в отчетном финансовом году  на компенсацию предприятиям жилищно-коммунальной сферы разницы между экономически обоснованными тарифами и тарифами, установленными для населения, и на покрытие убытков предприятий жилищно-коммунального хозяйства;
Р – общий объем расходов бюджета поселения в отчетном финансовом году</t>
  </si>
  <si>
    <t>И33 = МД/Дс, 
где:
МД – объем муниципального долга бюджета поселения на 1 января текущего финансового года;
Дс – объем  доходов поселения финансовом году  (за исключением субвенций )</t>
  </si>
  <si>
    <t>Доля руководителей муниципальных учреждений поселения, для которых оплата труда определяется с учетом результатов их профессиональной деятельности</t>
  </si>
  <si>
    <t xml:space="preserve">И41 = РМУотпд  / РМУ
где:
РМУотпд - количество руководителей муниципальных учреждений поселения, для которых оплата труда определяется с учетом результатов их профессиональной деятельности;
РМУ - количество руководителей муниципальных учреждений муниципального образования
</t>
  </si>
  <si>
    <r>
      <t>И44 = МУ</t>
    </r>
    <r>
      <rPr>
        <vertAlign val="superscript"/>
        <sz val="12"/>
        <color theme="1"/>
        <rFont val="Times New Roman"/>
        <family val="1"/>
        <charset val="204"/>
      </rPr>
      <t>Н</t>
    </r>
    <r>
      <rPr>
        <sz val="12"/>
        <color theme="1"/>
        <rFont val="Times New Roman"/>
        <family val="1"/>
        <charset val="204"/>
      </rPr>
      <t xml:space="preserve">  / МУ
где:
МУ</t>
    </r>
    <r>
      <rPr>
        <vertAlign val="superscript"/>
        <sz val="12"/>
        <color theme="1"/>
        <rFont val="Times New Roman"/>
        <family val="1"/>
        <charset val="204"/>
      </rPr>
      <t>Н</t>
    </r>
    <r>
      <rPr>
        <sz val="12"/>
        <color theme="1"/>
        <rFont val="Times New Roman"/>
        <family val="1"/>
        <charset val="204"/>
      </rPr>
      <t xml:space="preserve"> - количество муниципальных учреждений в поселении, для которых установлены количественно измеримые финансовые санкции (штрафы, изъятия) за нарушение условий выполнения муниципальных заданий в отчетном финансовом году;
МУ - общее количество муниципальных учреждений, которым установлены муниципальные задания в отчетном финансовом году
</t>
    </r>
  </si>
  <si>
    <r>
      <t>И45 = МУ</t>
    </r>
    <r>
      <rPr>
        <vertAlign val="superscript"/>
        <sz val="12"/>
        <color theme="1"/>
        <rFont val="Times New Roman"/>
        <family val="1"/>
        <charset val="204"/>
      </rPr>
      <t>В</t>
    </r>
    <r>
      <rPr>
        <sz val="12"/>
        <color theme="1"/>
        <rFont val="Times New Roman"/>
        <family val="1"/>
        <charset val="204"/>
      </rPr>
      <t xml:space="preserve"> /МУ,
где:
МУ</t>
    </r>
    <r>
      <rPr>
        <vertAlign val="superscript"/>
        <sz val="12"/>
        <color theme="1"/>
        <rFont val="Times New Roman"/>
        <family val="1"/>
        <charset val="204"/>
      </rPr>
      <t>В</t>
    </r>
    <r>
      <rPr>
        <sz val="12"/>
        <color theme="1"/>
        <rFont val="Times New Roman"/>
        <family val="1"/>
        <charset val="204"/>
      </rPr>
      <t xml:space="preserve"> – количество муниципальных учреждений в поселении, выполнивших государственное задание на 100% в отчетном финансовом году;
МУ – общее количество муниципальных учреждений, которым установлены муниципальные задания в отчетном финансовом году
</t>
    </r>
  </si>
  <si>
    <r>
      <t>И47 = РОМУ</t>
    </r>
    <r>
      <rPr>
        <vertAlign val="superscript"/>
        <sz val="12"/>
        <color theme="1"/>
        <rFont val="Times New Roman"/>
        <family val="1"/>
        <charset val="204"/>
      </rPr>
      <t>Н</t>
    </r>
    <r>
      <rPr>
        <sz val="12"/>
        <color theme="1"/>
        <rFont val="Times New Roman"/>
        <family val="1"/>
        <charset val="204"/>
      </rPr>
      <t>/РОМУ,
где:
РОМУ</t>
    </r>
    <r>
      <rPr>
        <vertAlign val="superscript"/>
        <sz val="12"/>
        <color theme="1"/>
        <rFont val="Times New Roman"/>
        <family val="1"/>
        <charset val="204"/>
      </rPr>
      <t>Н</t>
    </r>
    <r>
      <rPr>
        <sz val="12"/>
        <color theme="1"/>
        <rFont val="Times New Roman"/>
        <family val="1"/>
        <charset val="204"/>
      </rPr>
      <t xml:space="preserve"> - объем расходов бюджета поселения в отчетном финансовом году на финансовое обеспечение оказания бюджетными и автономными учреждениями муниципальных услуг (выполнения работ), рассчитанных исходя из нормативов финансовых затрат, в сферах  культуры,  физической культуры и спорта;
РОМУ - объем расходов бюджета поселения в отчетном финансовом году на финансовое обеспечение оказания бюджетными и автономными учреждениями муниципальных услуг (выполнения работ) в сферах  культуры, физической культуры и спорта
</t>
    </r>
  </si>
  <si>
    <t xml:space="preserve">И53 = (НИ1 + НИ2 + НИ3 + НИ4 + НИ5 + НИ6 + НИ7 ) / 7,                                                                                                                                                                                                                                                                                          где:
НИ1, НИ2, НИ3, НИ4, НИ5, НИ6, НИ7,  - наличие информации (муниципального правового акта, результатов оценки, контроля, мониторинга, и т.д.) на официальном сайте органов местного самоуправления в сети Интернет в отчетном финансовом году
</t>
  </si>
  <si>
    <t xml:space="preserve">своевременно,объективно, достоверно / несвоевременно, необъективно, недостоверно
(своевременно,объективно, достоверно: И57 = 1,
 несвоевременно, необъективно, недостоверно: И57 = 0)
</t>
  </si>
  <si>
    <t xml:space="preserve">Право на грант (дотацию) </t>
  </si>
  <si>
    <t>Муниципальное образование (поселение)</t>
  </si>
  <si>
    <t>Распределение гранта (дотаций) (тыс.руб.)</t>
  </si>
  <si>
    <t>Данные показателей для расчета индикаторов оценки качества организации и осуществления бюджетного процесса в поселениях Березовского района по итогам 2016 года</t>
  </si>
  <si>
    <t>Сводная оценка качества организации и осуществления бюджетного процесса в поселениях Березовского района, рейтинг поселений Березовского района по итогам 2016 года</t>
  </si>
  <si>
    <t xml:space="preserve"> </t>
  </si>
  <si>
    <t>Распределение грантов поселениям Березовского района в целях поощрения достижения высоких показателей качества организации и осуществления бюджетного процесса в поселениях Березовского района по итогам 2016 года</t>
  </si>
  <si>
    <t>Сводная оценка качества организации и осуществления бюджетного процесса в поселениях Березовского района по итогам 2016 года</t>
  </si>
  <si>
    <t>Индикаторы для оценки качества организации и осуществления бюджетного процесса в поселениях Березовского района по итогам 2016 года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</si>
</sst>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.0"/>
    <numFmt numFmtId="165" formatCode="#,##0.0"/>
  </numFmts>
  <fonts count="5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2"/>
      <name val="Times New Roman"/>
      <family val="1"/>
      <charset val="204"/>
    </font>
    <font>
      <sz val="10"/>
      <color indexed="8"/>
      <name val="Times New Roman"/>
      <family val="2"/>
      <charset val="204"/>
    </font>
    <font>
      <u/>
      <sz val="8.5"/>
      <color indexed="12"/>
      <name val="Times New Roman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vertAlign val="superscript"/>
      <sz val="12"/>
      <color theme="1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9"/>
      <name val="Times New Roman"/>
      <family val="2"/>
      <charset val="204"/>
    </font>
    <font>
      <sz val="10"/>
      <color indexed="62"/>
      <name val="Times New Roman"/>
      <family val="2"/>
      <charset val="204"/>
    </font>
    <font>
      <b/>
      <sz val="10"/>
      <color indexed="63"/>
      <name val="Times New Roman"/>
      <family val="2"/>
      <charset val="204"/>
    </font>
    <font>
      <b/>
      <sz val="10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0"/>
      <color indexed="8"/>
      <name val="Times New Roman"/>
      <family val="2"/>
      <charset val="204"/>
    </font>
    <font>
      <b/>
      <sz val="10"/>
      <color indexed="9"/>
      <name val="Times New Roman"/>
      <family val="2"/>
      <charset val="204"/>
    </font>
    <font>
      <sz val="10"/>
      <color indexed="60"/>
      <name val="Times New Roman"/>
      <family val="2"/>
      <charset val="204"/>
    </font>
    <font>
      <sz val="10"/>
      <color indexed="20"/>
      <name val="Times New Roman"/>
      <family val="2"/>
      <charset val="204"/>
    </font>
    <font>
      <i/>
      <sz val="10"/>
      <color indexed="23"/>
      <name val="Times New Roman"/>
      <family val="2"/>
      <charset val="204"/>
    </font>
    <font>
      <sz val="10"/>
      <color indexed="52"/>
      <name val="Times New Roman"/>
      <family val="2"/>
      <charset val="204"/>
    </font>
    <font>
      <sz val="10"/>
      <color indexed="10"/>
      <name val="Times New Roman"/>
      <family val="2"/>
      <charset val="204"/>
    </font>
    <font>
      <sz val="10"/>
      <color indexed="17"/>
      <name val="Times New Roman"/>
      <family val="2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85">
    <xf numFmtId="0" fontId="0" fillId="0" borderId="0"/>
    <xf numFmtId="0" fontId="2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9" fontId="16" fillId="0" borderId="0" applyFont="0" applyFill="0" applyBorder="0" applyAlignment="0" applyProtection="0"/>
    <xf numFmtId="0" fontId="4" fillId="0" borderId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4" fillId="7" borderId="0" applyNumberFormat="0" applyBorder="0" applyAlignment="0" applyProtection="0"/>
    <xf numFmtId="0" fontId="9" fillId="8" borderId="0" applyNumberFormat="0" applyBorder="0" applyAlignment="0" applyProtection="0"/>
    <xf numFmtId="0" fontId="4" fillId="8" borderId="0" applyNumberFormat="0" applyBorder="0" applyAlignment="0" applyProtection="0"/>
    <xf numFmtId="0" fontId="9" fillId="9" borderId="0" applyNumberFormat="0" applyBorder="0" applyAlignment="0" applyProtection="0"/>
    <xf numFmtId="0" fontId="4" fillId="9" borderId="0" applyNumberFormat="0" applyBorder="0" applyAlignment="0" applyProtection="0"/>
    <xf numFmtId="0" fontId="9" fillId="10" borderId="0" applyNumberFormat="0" applyBorder="0" applyAlignment="0" applyProtection="0"/>
    <xf numFmtId="0" fontId="4" fillId="10" borderId="0" applyNumberFormat="0" applyBorder="0" applyAlignment="0" applyProtection="0"/>
    <xf numFmtId="0" fontId="9" fillId="11" borderId="0" applyNumberFormat="0" applyBorder="0" applyAlignment="0" applyProtection="0"/>
    <xf numFmtId="0" fontId="4" fillId="11" borderId="0" applyNumberFormat="0" applyBorder="0" applyAlignment="0" applyProtection="0"/>
    <xf numFmtId="0" fontId="9" fillId="12" borderId="0" applyNumberFormat="0" applyBorder="0" applyAlignment="0" applyProtection="0"/>
    <xf numFmtId="0" fontId="4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6" borderId="0" applyNumberFormat="0" applyBorder="0" applyAlignment="0" applyProtection="0"/>
    <xf numFmtId="0" fontId="9" fillId="13" borderId="0" applyNumberFormat="0" applyBorder="0" applyAlignment="0" applyProtection="0"/>
    <xf numFmtId="0" fontId="4" fillId="13" borderId="0" applyNumberFormat="0" applyBorder="0" applyAlignment="0" applyProtection="0"/>
    <xf numFmtId="0" fontId="9" fillId="14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4" fillId="15" borderId="0" applyNumberFormat="0" applyBorder="0" applyAlignment="0" applyProtection="0"/>
    <xf numFmtId="0" fontId="9" fillId="10" borderId="0" applyNumberFormat="0" applyBorder="0" applyAlignment="0" applyProtection="0"/>
    <xf numFmtId="0" fontId="4" fillId="10" borderId="0" applyNumberFormat="0" applyBorder="0" applyAlignment="0" applyProtection="0"/>
    <xf numFmtId="0" fontId="9" fillId="13" borderId="0" applyNumberFormat="0" applyBorder="0" applyAlignment="0" applyProtection="0"/>
    <xf numFmtId="0" fontId="4" fillId="13" borderId="0" applyNumberFormat="0" applyBorder="0" applyAlignment="0" applyProtection="0"/>
    <xf numFmtId="0" fontId="9" fillId="16" borderId="0" applyNumberFormat="0" applyBorder="0" applyAlignment="0" applyProtection="0"/>
    <xf numFmtId="0" fontId="4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17" borderId="0" applyNumberFormat="0" applyBorder="0" applyAlignment="0" applyProtection="0"/>
    <xf numFmtId="0" fontId="42" fillId="17" borderId="0" applyNumberFormat="0" applyBorder="0" applyAlignment="0" applyProtection="0"/>
    <xf numFmtId="0" fontId="26" fillId="14" borderId="0" applyNumberFormat="0" applyBorder="0" applyAlignment="0" applyProtection="0"/>
    <xf numFmtId="0" fontId="42" fillId="14" borderId="0" applyNumberFormat="0" applyBorder="0" applyAlignment="0" applyProtection="0"/>
    <xf numFmtId="0" fontId="26" fillId="15" borderId="0" applyNumberFormat="0" applyBorder="0" applyAlignment="0" applyProtection="0"/>
    <xf numFmtId="0" fontId="42" fillId="15" borderId="0" applyNumberFormat="0" applyBorder="0" applyAlignment="0" applyProtection="0"/>
    <xf numFmtId="0" fontId="26" fillId="18" borderId="0" applyNumberFormat="0" applyBorder="0" applyAlignment="0" applyProtection="0"/>
    <xf numFmtId="0" fontId="42" fillId="18" borderId="0" applyNumberFormat="0" applyBorder="0" applyAlignment="0" applyProtection="0"/>
    <xf numFmtId="0" fontId="26" fillId="19" borderId="0" applyNumberFormat="0" applyBorder="0" applyAlignment="0" applyProtection="0"/>
    <xf numFmtId="0" fontId="42" fillId="19" borderId="0" applyNumberFormat="0" applyBorder="0" applyAlignment="0" applyProtection="0"/>
    <xf numFmtId="0" fontId="26" fillId="20" borderId="0" applyNumberFormat="0" applyBorder="0" applyAlignment="0" applyProtection="0"/>
    <xf numFmtId="0" fontId="42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4" borderId="0" applyNumberFormat="0" applyBorder="0" applyAlignment="0" applyProtection="0"/>
    <xf numFmtId="0" fontId="37" fillId="8" borderId="0" applyNumberFormat="0" applyBorder="0" applyAlignment="0" applyProtection="0"/>
    <xf numFmtId="0" fontId="29" fillId="25" borderId="25" applyNumberFormat="0" applyAlignment="0" applyProtection="0"/>
    <xf numFmtId="0" fontId="34" fillId="26" borderId="26" applyNumberFormat="0" applyAlignment="0" applyProtection="0"/>
    <xf numFmtId="0" fontId="38" fillId="0" borderId="0" applyNumberFormat="0" applyFill="0" applyBorder="0" applyAlignment="0" applyProtection="0"/>
    <xf numFmtId="0" fontId="41" fillId="9" borderId="0" applyNumberFormat="0" applyBorder="0" applyAlignment="0" applyProtection="0"/>
    <xf numFmtId="0" fontId="30" fillId="0" borderId="27" applyNumberFormat="0" applyFill="0" applyAlignment="0" applyProtection="0"/>
    <xf numFmtId="0" fontId="31" fillId="0" borderId="28" applyNumberFormat="0" applyFill="0" applyAlignment="0" applyProtection="0"/>
    <xf numFmtId="0" fontId="32" fillId="0" borderId="29" applyNumberFormat="0" applyFill="0" applyAlignment="0" applyProtection="0"/>
    <xf numFmtId="0" fontId="32" fillId="0" borderId="0" applyNumberFormat="0" applyFill="0" applyBorder="0" applyAlignment="0" applyProtection="0"/>
    <xf numFmtId="0" fontId="27" fillId="12" borderId="25" applyNumberFormat="0" applyAlignment="0" applyProtection="0"/>
    <xf numFmtId="0" fontId="39" fillId="0" borderId="30" applyNumberFormat="0" applyFill="0" applyAlignment="0" applyProtection="0"/>
    <xf numFmtId="0" fontId="36" fillId="27" borderId="0" applyNumberFormat="0" applyBorder="0" applyAlignment="0" applyProtection="0"/>
    <xf numFmtId="0" fontId="9" fillId="28" borderId="31" applyNumberFormat="0" applyFont="0" applyAlignment="0" applyProtection="0"/>
    <xf numFmtId="0" fontId="28" fillId="25" borderId="32" applyNumberFormat="0" applyAlignment="0" applyProtection="0"/>
    <xf numFmtId="0" fontId="35" fillId="0" borderId="0" applyNumberFormat="0" applyFill="0" applyBorder="0" applyAlignment="0" applyProtection="0"/>
    <xf numFmtId="0" fontId="33" fillId="0" borderId="33" applyNumberFormat="0" applyFill="0" applyAlignment="0" applyProtection="0"/>
    <xf numFmtId="0" fontId="40" fillId="0" borderId="0" applyNumberFormat="0" applyFill="0" applyBorder="0" applyAlignment="0" applyProtection="0"/>
    <xf numFmtId="0" fontId="26" fillId="21" borderId="0" applyNumberFormat="0" applyBorder="0" applyAlignment="0" applyProtection="0"/>
    <xf numFmtId="0" fontId="42" fillId="21" borderId="0" applyNumberFormat="0" applyBorder="0" applyAlignment="0" applyProtection="0"/>
    <xf numFmtId="0" fontId="26" fillId="22" borderId="0" applyNumberFormat="0" applyBorder="0" applyAlignment="0" applyProtection="0"/>
    <xf numFmtId="0" fontId="42" fillId="22" borderId="0" applyNumberFormat="0" applyBorder="0" applyAlignment="0" applyProtection="0"/>
    <xf numFmtId="0" fontId="26" fillId="23" borderId="0" applyNumberFormat="0" applyBorder="0" applyAlignment="0" applyProtection="0"/>
    <xf numFmtId="0" fontId="42" fillId="23" borderId="0" applyNumberFormat="0" applyBorder="0" applyAlignment="0" applyProtection="0"/>
    <xf numFmtId="0" fontId="26" fillId="18" borderId="0" applyNumberFormat="0" applyBorder="0" applyAlignment="0" applyProtection="0"/>
    <xf numFmtId="0" fontId="42" fillId="18" borderId="0" applyNumberFormat="0" applyBorder="0" applyAlignment="0" applyProtection="0"/>
    <xf numFmtId="0" fontId="26" fillId="19" borderId="0" applyNumberFormat="0" applyBorder="0" applyAlignment="0" applyProtection="0"/>
    <xf numFmtId="0" fontId="42" fillId="19" borderId="0" applyNumberFormat="0" applyBorder="0" applyAlignment="0" applyProtection="0"/>
    <xf numFmtId="0" fontId="26" fillId="24" borderId="0" applyNumberFormat="0" applyBorder="0" applyAlignment="0" applyProtection="0"/>
    <xf numFmtId="0" fontId="42" fillId="24" borderId="0" applyNumberFormat="0" applyBorder="0" applyAlignment="0" applyProtection="0"/>
    <xf numFmtId="0" fontId="27" fillId="12" borderId="25" applyNumberFormat="0" applyAlignment="0" applyProtection="0"/>
    <xf numFmtId="0" fontId="43" fillId="12" borderId="25" applyNumberFormat="0" applyAlignment="0" applyProtection="0"/>
    <xf numFmtId="0" fontId="28" fillId="25" borderId="32" applyNumberFormat="0" applyAlignment="0" applyProtection="0"/>
    <xf numFmtId="0" fontId="44" fillId="25" borderId="32" applyNumberFormat="0" applyAlignment="0" applyProtection="0"/>
    <xf numFmtId="0" fontId="29" fillId="25" borderId="25" applyNumberFormat="0" applyAlignment="0" applyProtection="0"/>
    <xf numFmtId="0" fontId="45" fillId="25" borderId="25" applyNumberFormat="0" applyAlignment="0" applyProtection="0"/>
    <xf numFmtId="0" fontId="58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46" fillId="0" borderId="27" applyNumberFormat="0" applyFill="0" applyAlignment="0" applyProtection="0"/>
    <xf numFmtId="0" fontId="31" fillId="0" borderId="28" applyNumberFormat="0" applyFill="0" applyAlignment="0" applyProtection="0"/>
    <xf numFmtId="0" fontId="47" fillId="0" borderId="28" applyNumberFormat="0" applyFill="0" applyAlignment="0" applyProtection="0"/>
    <xf numFmtId="0" fontId="32" fillId="0" borderId="29" applyNumberFormat="0" applyFill="0" applyAlignment="0" applyProtection="0"/>
    <xf numFmtId="0" fontId="48" fillId="0" borderId="29" applyNumberFormat="0" applyFill="0" applyAlignment="0" applyProtection="0"/>
    <xf numFmtId="0" fontId="32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33" fillId="0" borderId="33" applyNumberFormat="0" applyFill="0" applyAlignment="0" applyProtection="0"/>
    <xf numFmtId="0" fontId="49" fillId="0" borderId="33" applyNumberFormat="0" applyFill="0" applyAlignment="0" applyProtection="0"/>
    <xf numFmtId="0" fontId="34" fillId="26" borderId="26" applyNumberFormat="0" applyAlignment="0" applyProtection="0"/>
    <xf numFmtId="0" fontId="50" fillId="26" borderId="26" applyNumberFormat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27" borderId="0" applyNumberFormat="0" applyBorder="0" applyAlignment="0" applyProtection="0"/>
    <xf numFmtId="0" fontId="51" fillId="27" borderId="0" applyNumberFormat="0" applyBorder="0" applyAlignment="0" applyProtection="0"/>
    <xf numFmtId="0" fontId="57" fillId="0" borderId="0"/>
    <xf numFmtId="0" fontId="4" fillId="0" borderId="0"/>
    <xf numFmtId="0" fontId="4" fillId="0" borderId="0"/>
    <xf numFmtId="0" fontId="37" fillId="8" borderId="0" applyNumberFormat="0" applyBorder="0" applyAlignment="0" applyProtection="0"/>
    <xf numFmtId="0" fontId="52" fillId="8" borderId="0" applyNumberFormat="0" applyBorder="0" applyAlignment="0" applyProtection="0"/>
    <xf numFmtId="0" fontId="38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9" fillId="28" borderId="31" applyNumberFormat="0" applyFont="0" applyAlignment="0" applyProtection="0"/>
    <xf numFmtId="0" fontId="4" fillId="28" borderId="31" applyNumberFormat="0" applyFont="0" applyAlignment="0" applyProtection="0"/>
    <xf numFmtId="9" fontId="9" fillId="0" borderId="0" applyFont="0" applyFill="0" applyBorder="0" applyAlignment="0" applyProtection="0"/>
    <xf numFmtId="0" fontId="39" fillId="0" borderId="30" applyNumberFormat="0" applyFill="0" applyAlignment="0" applyProtection="0"/>
    <xf numFmtId="0" fontId="54" fillId="0" borderId="30" applyNumberFormat="0" applyFill="0" applyAlignment="0" applyProtection="0"/>
    <xf numFmtId="0" fontId="40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41" fillId="9" borderId="0" applyNumberFormat="0" applyBorder="0" applyAlignment="0" applyProtection="0"/>
    <xf numFmtId="0" fontId="56" fillId="9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6" fillId="0" borderId="0" applyFont="0" applyFill="0" applyBorder="0" applyAlignment="0" applyProtection="0"/>
  </cellStyleXfs>
  <cellXfs count="252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/>
    </xf>
    <xf numFmtId="0" fontId="0" fillId="3" borderId="0" xfId="0" applyFill="1"/>
    <xf numFmtId="49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0" borderId="0" xfId="0" applyFont="1"/>
    <xf numFmtId="164" fontId="13" fillId="0" borderId="1" xfId="0" applyNumberFormat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0" fillId="3" borderId="0" xfId="0" applyFont="1" applyFill="1"/>
    <xf numFmtId="49" fontId="11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/>
    <xf numFmtId="164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/>
    </xf>
    <xf numFmtId="0" fontId="0" fillId="2" borderId="0" xfId="0" applyFont="1" applyFill="1"/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0" fillId="2" borderId="0" xfId="0" applyFill="1"/>
    <xf numFmtId="2" fontId="12" fillId="0" borderId="1" xfId="0" applyNumberFormat="1" applyFont="1" applyFill="1" applyBorder="1" applyAlignment="1">
      <alignment horizontal="center" vertical="center"/>
    </xf>
    <xf numFmtId="2" fontId="7" fillId="2" borderId="2" xfId="0" applyNumberFormat="1" applyFont="1" applyFill="1" applyBorder="1" applyAlignment="1">
      <alignment vertical="center" wrapText="1"/>
    </xf>
    <xf numFmtId="2" fontId="7" fillId="2" borderId="6" xfId="0" applyNumberFormat="1" applyFont="1" applyFill="1" applyBorder="1" applyAlignment="1">
      <alignment vertical="center" wrapText="1"/>
    </xf>
    <xf numFmtId="2" fontId="7" fillId="2" borderId="3" xfId="0" applyNumberFormat="1" applyFont="1" applyFill="1" applyBorder="1" applyAlignment="1">
      <alignment vertical="center" wrapText="1"/>
    </xf>
    <xf numFmtId="2" fontId="12" fillId="2" borderId="1" xfId="0" applyNumberFormat="1" applyFont="1" applyFill="1" applyBorder="1" applyAlignment="1">
      <alignment vertical="center"/>
    </xf>
    <xf numFmtId="2" fontId="12" fillId="2" borderId="1" xfId="0" applyNumberFormat="1" applyFont="1" applyFill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 wrapText="1"/>
    </xf>
    <xf numFmtId="1" fontId="13" fillId="3" borderId="1" xfId="0" applyNumberFormat="1" applyFont="1" applyFill="1" applyBorder="1" applyAlignment="1">
      <alignment vertical="center" wrapText="1"/>
    </xf>
    <xf numFmtId="1" fontId="0" fillId="0" borderId="0" xfId="0" applyNumberFormat="1" applyFont="1"/>
    <xf numFmtId="0" fontId="13" fillId="0" borderId="1" xfId="0" applyFont="1" applyBorder="1" applyAlignment="1">
      <alignment horizontal="center" vertical="center" wrapText="1"/>
    </xf>
    <xf numFmtId="49" fontId="0" fillId="0" borderId="0" xfId="0" applyNumberFormat="1" applyFill="1" applyAlignment="1">
      <alignment horizontal="center"/>
    </xf>
    <xf numFmtId="164" fontId="11" fillId="3" borderId="1" xfId="0" applyNumberFormat="1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/>
    </xf>
    <xf numFmtId="9" fontId="12" fillId="0" borderId="1" xfId="1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0" fillId="0" borderId="17" xfId="0" applyFill="1" applyBorder="1" applyAlignment="1">
      <alignment horizont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left" vertical="center" wrapText="1"/>
    </xf>
    <xf numFmtId="2" fontId="12" fillId="0" borderId="1" xfId="0" applyNumberFormat="1" applyFont="1" applyFill="1" applyBorder="1" applyAlignment="1">
      <alignment horizontal="left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11" fillId="0" borderId="0" xfId="0" applyFont="1" applyFill="1"/>
    <xf numFmtId="0" fontId="11" fillId="0" borderId="0" xfId="0" applyFont="1" applyFill="1" applyAlignment="1">
      <alignment horizontal="left"/>
    </xf>
    <xf numFmtId="2" fontId="13" fillId="0" borderId="0" xfId="0" applyNumberFormat="1" applyFont="1" applyFill="1"/>
    <xf numFmtId="0" fontId="19" fillId="0" borderId="0" xfId="0" applyFont="1" applyFill="1"/>
    <xf numFmtId="0" fontId="19" fillId="0" borderId="0" xfId="0" applyFont="1" applyFill="1" applyAlignment="1">
      <alignment horizontal="left"/>
    </xf>
    <xf numFmtId="0" fontId="17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left" vertical="center" wrapText="1"/>
    </xf>
    <xf numFmtId="1" fontId="17" fillId="0" borderId="8" xfId="0" applyNumberFormat="1" applyFont="1" applyFill="1" applyBorder="1" applyAlignment="1">
      <alignment horizontal="center" vertical="center" wrapText="1"/>
    </xf>
    <xf numFmtId="1" fontId="17" fillId="0" borderId="1" xfId="0" applyNumberFormat="1" applyFont="1" applyFill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left" vertical="center" wrapText="1"/>
    </xf>
    <xf numFmtId="1" fontId="17" fillId="0" borderId="11" xfId="0" applyNumberFormat="1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left" vertical="center" wrapText="1"/>
    </xf>
    <xf numFmtId="0" fontId="20" fillId="0" borderId="11" xfId="0" applyFont="1" applyFill="1" applyBorder="1"/>
    <xf numFmtId="0" fontId="20" fillId="0" borderId="11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left" vertical="center" wrapText="1"/>
    </xf>
    <xf numFmtId="2" fontId="20" fillId="0" borderId="0" xfId="0" applyNumberFormat="1" applyFont="1" applyFill="1" applyAlignment="1">
      <alignment horizontal="center" vertical="center" wrapText="1"/>
    </xf>
    <xf numFmtId="0" fontId="17" fillId="0" borderId="0" xfId="0" applyFont="1" applyFill="1"/>
    <xf numFmtId="0" fontId="17" fillId="0" borderId="0" xfId="0" applyFont="1" applyFill="1" applyAlignment="1">
      <alignment horizontal="left"/>
    </xf>
    <xf numFmtId="2" fontId="20" fillId="0" borderId="0" xfId="0" applyNumberFormat="1" applyFont="1" applyFill="1"/>
    <xf numFmtId="0" fontId="0" fillId="0" borderId="0" xfId="0" applyFill="1" applyAlignment="1">
      <alignment horizontal="right"/>
    </xf>
    <xf numFmtId="0" fontId="11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11" fillId="0" borderId="1" xfId="0" applyFont="1" applyFill="1" applyBorder="1" applyAlignment="1">
      <alignment horizontal="center"/>
    </xf>
    <xf numFmtId="1" fontId="11" fillId="0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left"/>
    </xf>
    <xf numFmtId="2" fontId="1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/>
    </xf>
    <xf numFmtId="0" fontId="17" fillId="0" borderId="18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left" vertical="center" wrapText="1"/>
    </xf>
    <xf numFmtId="1" fontId="17" fillId="0" borderId="4" xfId="0" applyNumberFormat="1" applyFont="1" applyFill="1" applyBorder="1" applyAlignment="1">
      <alignment horizontal="center" vertical="center" wrapText="1"/>
    </xf>
    <xf numFmtId="2" fontId="17" fillId="0" borderId="4" xfId="0" applyNumberFormat="1" applyFont="1" applyFill="1" applyBorder="1" applyAlignment="1">
      <alignment horizontal="center" vertical="center" wrapText="1"/>
    </xf>
    <xf numFmtId="4" fontId="17" fillId="0" borderId="4" xfId="0" applyNumberFormat="1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20" fillId="0" borderId="22" xfId="0" applyFont="1" applyFill="1" applyBorder="1" applyAlignment="1">
      <alignment horizontal="left" vertical="center" wrapText="1"/>
    </xf>
    <xf numFmtId="2" fontId="20" fillId="0" borderId="22" xfId="0" applyNumberFormat="1" applyFont="1" applyFill="1" applyBorder="1" applyAlignment="1">
      <alignment horizontal="center" vertical="center" wrapText="1"/>
    </xf>
    <xf numFmtId="0" fontId="20" fillId="0" borderId="2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horizontal="left" vertical="center" wrapText="1"/>
    </xf>
    <xf numFmtId="49" fontId="22" fillId="0" borderId="1" xfId="1" applyNumberFormat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/>
    </xf>
    <xf numFmtId="0" fontId="24" fillId="0" borderId="0" xfId="0" applyFont="1" applyFill="1"/>
    <xf numFmtId="0" fontId="17" fillId="0" borderId="1" xfId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/>
    <xf numFmtId="0" fontId="8" fillId="4" borderId="1" xfId="0" applyFont="1" applyFill="1" applyBorder="1" applyAlignment="1">
      <alignment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vertical="center" wrapText="1"/>
    </xf>
    <xf numFmtId="49" fontId="17" fillId="4" borderId="1" xfId="1" applyNumberFormat="1" applyFont="1" applyFill="1" applyBorder="1" applyAlignment="1">
      <alignment horizontal="center" vertical="center" wrapText="1"/>
    </xf>
    <xf numFmtId="3" fontId="11" fillId="4" borderId="1" xfId="0" applyNumberFormat="1" applyFont="1" applyFill="1" applyBorder="1" applyAlignment="1">
      <alignment horizontal="center" vertical="center" wrapText="1"/>
    </xf>
    <xf numFmtId="165" fontId="11" fillId="4" borderId="1" xfId="0" applyNumberFormat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left" vertical="center" wrapText="1"/>
    </xf>
    <xf numFmtId="49" fontId="17" fillId="5" borderId="1" xfId="1" applyNumberFormat="1" applyFont="1" applyFill="1" applyBorder="1" applyAlignment="1">
      <alignment horizontal="center" vertical="center" wrapText="1"/>
    </xf>
    <xf numFmtId="3" fontId="11" fillId="5" borderId="1" xfId="0" applyNumberFormat="1" applyFont="1" applyFill="1" applyBorder="1" applyAlignment="1">
      <alignment horizontal="center" vertical="center" wrapText="1"/>
    </xf>
    <xf numFmtId="165" fontId="11" fillId="5" borderId="1" xfId="0" applyNumberFormat="1" applyFont="1" applyFill="1" applyBorder="1" applyAlignment="1">
      <alignment horizontal="center" vertical="center" wrapText="1"/>
    </xf>
    <xf numFmtId="3" fontId="11" fillId="5" borderId="1" xfId="0" applyNumberFormat="1" applyFont="1" applyFill="1" applyBorder="1" applyAlignment="1">
      <alignment horizontal="center" vertical="center"/>
    </xf>
    <xf numFmtId="4" fontId="11" fillId="5" borderId="1" xfId="0" applyNumberFormat="1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/>
    </xf>
    <xf numFmtId="2" fontId="14" fillId="5" borderId="1" xfId="0" applyNumberFormat="1" applyFont="1" applyFill="1" applyBorder="1" applyAlignment="1">
      <alignment horizontal="left" vertical="center" wrapText="1"/>
    </xf>
    <xf numFmtId="2" fontId="7" fillId="4" borderId="2" xfId="0" applyNumberFormat="1" applyFont="1" applyFill="1" applyBorder="1" applyAlignment="1">
      <alignment vertical="center" wrapText="1"/>
    </xf>
    <xf numFmtId="165" fontId="11" fillId="4" borderId="1" xfId="0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4" fontId="11" fillId="4" borderId="1" xfId="0" applyNumberFormat="1" applyFont="1" applyFill="1" applyBorder="1" applyAlignment="1">
      <alignment horizontal="center" vertical="center" wrapText="1"/>
    </xf>
    <xf numFmtId="0" fontId="0" fillId="4" borderId="0" xfId="0" applyFill="1"/>
    <xf numFmtId="49" fontId="22" fillId="4" borderId="1" xfId="1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3" fontId="20" fillId="0" borderId="0" xfId="0" applyNumberFormat="1" applyFont="1" applyFill="1" applyBorder="1" applyAlignment="1">
      <alignment horizontal="center" vertical="center" wrapText="1"/>
    </xf>
    <xf numFmtId="3" fontId="17" fillId="0" borderId="0" xfId="0" applyNumberFormat="1" applyFont="1" applyFill="1" applyBorder="1" applyAlignment="1">
      <alignment horizontal="center" vertical="center" wrapText="1"/>
    </xf>
    <xf numFmtId="3" fontId="20" fillId="0" borderId="22" xfId="0" applyNumberFormat="1" applyFont="1" applyFill="1" applyBorder="1" applyAlignment="1">
      <alignment horizontal="center" vertical="center" wrapText="1"/>
    </xf>
    <xf numFmtId="3" fontId="17" fillId="0" borderId="4" xfId="0" applyNumberFormat="1" applyFont="1" applyFill="1" applyBorder="1" applyAlignment="1">
      <alignment horizontal="center" vertical="center" wrapText="1"/>
    </xf>
    <xf numFmtId="3" fontId="17" fillId="0" borderId="1" xfId="0" applyNumberFormat="1" applyFont="1" applyFill="1" applyBorder="1" applyAlignment="1">
      <alignment horizontal="center" vertical="center" wrapText="1"/>
    </xf>
    <xf numFmtId="3" fontId="20" fillId="0" borderId="11" xfId="0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1" fontId="11" fillId="0" borderId="6" xfId="0" applyNumberFormat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left" vertical="center" wrapText="1"/>
    </xf>
    <xf numFmtId="49" fontId="1" fillId="4" borderId="1" xfId="1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top" wrapText="1"/>
    </xf>
    <xf numFmtId="0" fontId="11" fillId="6" borderId="1" xfId="0" applyFont="1" applyFill="1" applyBorder="1" applyAlignment="1">
      <alignment horizontal="center" vertical="center" wrapText="1"/>
    </xf>
    <xf numFmtId="3" fontId="11" fillId="5" borderId="1" xfId="0" applyNumberFormat="1" applyFont="1" applyFill="1" applyBorder="1" applyAlignment="1">
      <alignment horizontal="left" vertical="center" wrapText="1"/>
    </xf>
    <xf numFmtId="49" fontId="17" fillId="0" borderId="1" xfId="1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1" fontId="20" fillId="0" borderId="23" xfId="0" applyNumberFormat="1" applyFont="1" applyFill="1" applyBorder="1" applyAlignment="1">
      <alignment horizontal="center" vertical="center" wrapText="1"/>
    </xf>
    <xf numFmtId="2" fontId="17" fillId="0" borderId="5" xfId="0" applyNumberFormat="1" applyFont="1" applyFill="1" applyBorder="1" applyAlignment="1">
      <alignment horizontal="center" vertical="center" wrapText="1"/>
    </xf>
    <xf numFmtId="3" fontId="17" fillId="0" borderId="5" xfId="0" applyNumberFormat="1" applyFont="1" applyFill="1" applyBorder="1" applyAlignment="1">
      <alignment horizontal="center" vertical="center" wrapText="1"/>
    </xf>
    <xf numFmtId="2" fontId="20" fillId="0" borderId="21" xfId="0" applyNumberFormat="1" applyFont="1" applyFill="1" applyBorder="1" applyAlignment="1">
      <alignment horizontal="center" vertical="center" wrapText="1"/>
    </xf>
    <xf numFmtId="1" fontId="20" fillId="0" borderId="22" xfId="0" applyNumberFormat="1" applyFont="1" applyFill="1" applyBorder="1" applyAlignment="1">
      <alignment horizontal="center" vertical="center" wrapText="1"/>
    </xf>
    <xf numFmtId="4" fontId="20" fillId="0" borderId="22" xfId="0" applyNumberFormat="1" applyFont="1" applyFill="1" applyBorder="1" applyAlignment="1">
      <alignment horizontal="center" vertical="center" wrapText="1"/>
    </xf>
    <xf numFmtId="3" fontId="20" fillId="0" borderId="24" xfId="0" applyNumberFormat="1" applyFont="1" applyFill="1" applyBorder="1" applyAlignment="1">
      <alignment horizontal="center" vertical="center" wrapText="1"/>
    </xf>
    <xf numFmtId="0" fontId="23" fillId="0" borderId="0" xfId="0" applyFont="1" applyFill="1"/>
    <xf numFmtId="0" fontId="23" fillId="0" borderId="0" xfId="0" applyFont="1" applyFill="1" applyAlignment="1">
      <alignment wrapText="1"/>
    </xf>
    <xf numFmtId="165" fontId="11" fillId="0" borderId="1" xfId="0" applyNumberFormat="1" applyFont="1" applyFill="1" applyBorder="1" applyAlignment="1">
      <alignment vertical="center"/>
    </xf>
    <xf numFmtId="165" fontId="11" fillId="0" borderId="1" xfId="0" applyNumberFormat="1" applyFont="1" applyFill="1" applyBorder="1" applyAlignment="1">
      <alignment horizontal="center" vertical="center" wrapText="1"/>
    </xf>
    <xf numFmtId="10" fontId="11" fillId="0" borderId="1" xfId="10" applyNumberFormat="1" applyFont="1" applyFill="1" applyBorder="1" applyAlignment="1">
      <alignment horizontal="center" vertical="center" wrapText="1"/>
    </xf>
    <xf numFmtId="9" fontId="11" fillId="0" borderId="1" xfId="1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11" fillId="0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center"/>
    </xf>
    <xf numFmtId="1" fontId="11" fillId="0" borderId="5" xfId="0" applyNumberFormat="1" applyFont="1" applyFill="1" applyBorder="1" applyAlignment="1">
      <alignment horizontal="center" vertical="center" wrapText="1"/>
    </xf>
    <xf numFmtId="1" fontId="11" fillId="0" borderId="5" xfId="0" applyNumberFormat="1" applyFont="1" applyFill="1" applyBorder="1" applyAlignment="1">
      <alignment horizontal="center" vertical="center"/>
    </xf>
    <xf numFmtId="0" fontId="0" fillId="0" borderId="1" xfId="0" applyFont="1" applyFill="1" applyBorder="1"/>
    <xf numFmtId="2" fontId="7" fillId="3" borderId="1" xfId="0" applyNumberFormat="1" applyFont="1" applyFill="1" applyBorder="1" applyAlignment="1">
      <alignment vertical="center" wrapText="1"/>
    </xf>
    <xf numFmtId="2" fontId="14" fillId="0" borderId="1" xfId="0" applyNumberFormat="1" applyFont="1" applyFill="1" applyBorder="1" applyAlignment="1">
      <alignment horizontal="left" vertical="center" wrapText="1"/>
    </xf>
    <xf numFmtId="0" fontId="15" fillId="3" borderId="2" xfId="0" applyFont="1" applyFill="1" applyBorder="1" applyAlignment="1">
      <alignment vertical="center" wrapText="1"/>
    </xf>
    <xf numFmtId="1" fontId="15" fillId="3" borderId="6" xfId="0" applyNumberFormat="1" applyFont="1" applyFill="1" applyBorder="1" applyAlignment="1">
      <alignment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/>
    <xf numFmtId="164" fontId="11" fillId="0" borderId="5" xfId="0" applyNumberFormat="1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left" vertical="center" wrapText="1"/>
    </xf>
    <xf numFmtId="3" fontId="11" fillId="0" borderId="1" xfId="0" applyNumberFormat="1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center" vertical="center" wrapText="1"/>
    </xf>
    <xf numFmtId="4" fontId="17" fillId="5" borderId="1" xfId="0" applyNumberFormat="1" applyFont="1" applyFill="1" applyBorder="1" applyAlignment="1">
      <alignment horizontal="center" vertical="center" wrapText="1"/>
    </xf>
    <xf numFmtId="165" fontId="17" fillId="0" borderId="1" xfId="0" applyNumberFormat="1" applyFont="1" applyFill="1" applyBorder="1" applyAlignment="1">
      <alignment horizontal="center"/>
    </xf>
    <xf numFmtId="165" fontId="17" fillId="0" borderId="1" xfId="0" applyNumberFormat="1" applyFont="1" applyFill="1" applyBorder="1" applyAlignment="1">
      <alignment horizontal="center" vertical="center"/>
    </xf>
    <xf numFmtId="3" fontId="17" fillId="5" borderId="1" xfId="0" applyNumberFormat="1" applyFont="1" applyFill="1" applyBorder="1" applyAlignment="1">
      <alignment horizontal="center" vertical="center"/>
    </xf>
    <xf numFmtId="3" fontId="17" fillId="5" borderId="1" xfId="0" applyNumberFormat="1" applyFont="1" applyFill="1" applyBorder="1" applyAlignment="1">
      <alignment horizontal="center" vertical="center" wrapText="1"/>
    </xf>
    <xf numFmtId="165" fontId="17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Fill="1"/>
    <xf numFmtId="2" fontId="11" fillId="0" borderId="1" xfId="0" applyNumberFormat="1" applyFont="1" applyFill="1" applyBorder="1" applyAlignment="1">
      <alignment horizontal="center" vertical="center" wrapText="1"/>
    </xf>
    <xf numFmtId="43" fontId="0" fillId="0" borderId="0" xfId="0" applyNumberFormat="1" applyFill="1"/>
    <xf numFmtId="0" fontId="0" fillId="29" borderId="0" xfId="0" applyFill="1"/>
    <xf numFmtId="0" fontId="0" fillId="29" borderId="0" xfId="0" applyFill="1" applyAlignment="1">
      <alignment horizontal="center" vertical="center"/>
    </xf>
    <xf numFmtId="0" fontId="16" fillId="29" borderId="0" xfId="0" applyFont="1" applyFill="1"/>
    <xf numFmtId="0" fontId="24" fillId="29" borderId="0" xfId="0" applyFont="1" applyFill="1"/>
    <xf numFmtId="0" fontId="23" fillId="29" borderId="0" xfId="0" applyFont="1" applyFill="1"/>
    <xf numFmtId="165" fontId="11" fillId="0" borderId="1" xfId="0" applyNumberFormat="1" applyFont="1" applyFill="1" applyBorder="1" applyAlignment="1">
      <alignment horizontal="center" vertical="center"/>
    </xf>
    <xf numFmtId="43" fontId="11" fillId="29" borderId="1" xfId="184" applyFont="1" applyFill="1" applyBorder="1" applyAlignment="1">
      <alignment horizontal="center" vertical="center"/>
    </xf>
    <xf numFmtId="0" fontId="11" fillId="29" borderId="1" xfId="0" applyFont="1" applyFill="1" applyBorder="1" applyAlignment="1">
      <alignment horizontal="center" vertical="center"/>
    </xf>
    <xf numFmtId="43" fontId="11" fillId="29" borderId="1" xfId="0" applyNumberFormat="1" applyFont="1" applyFill="1" applyBorder="1" applyAlignment="1">
      <alignment horizontal="center" vertical="center"/>
    </xf>
    <xf numFmtId="4" fontId="17" fillId="29" borderId="1" xfId="1" applyNumberFormat="1" applyFont="1" applyFill="1" applyBorder="1" applyAlignment="1">
      <alignment horizontal="center" vertical="center" wrapText="1"/>
    </xf>
    <xf numFmtId="4" fontId="0" fillId="0" borderId="0" xfId="0" applyNumberFormat="1" applyFill="1"/>
    <xf numFmtId="165" fontId="17" fillId="29" borderId="1" xfId="0" applyNumberFormat="1" applyFont="1" applyFill="1" applyBorder="1" applyAlignment="1">
      <alignment horizontal="center" vertical="center" wrapText="1"/>
    </xf>
    <xf numFmtId="1" fontId="17" fillId="30" borderId="4" xfId="0" applyNumberFormat="1" applyFont="1" applyFill="1" applyBorder="1" applyAlignment="1">
      <alignment horizontal="center" vertical="center" wrapText="1"/>
    </xf>
    <xf numFmtId="1" fontId="17" fillId="30" borderId="1" xfId="0" applyNumberFormat="1" applyFont="1" applyFill="1" applyBorder="1" applyAlignment="1">
      <alignment horizontal="center" vertical="center" wrapText="1"/>
    </xf>
    <xf numFmtId="0" fontId="8" fillId="29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wrapText="1"/>
    </xf>
    <xf numFmtId="0" fontId="17" fillId="0" borderId="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2" fontId="7" fillId="3" borderId="2" xfId="0" applyNumberFormat="1" applyFont="1" applyFill="1" applyBorder="1" applyAlignment="1">
      <alignment horizontal="left" vertical="center" wrapText="1"/>
    </xf>
    <xf numFmtId="2" fontId="7" fillId="3" borderId="6" xfId="0" applyNumberFormat="1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8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wrapText="1"/>
    </xf>
    <xf numFmtId="0" fontId="23" fillId="0" borderId="0" xfId="0" applyFont="1" applyFill="1" applyAlignment="1">
      <alignment horizontal="left" vertical="top" wrapText="1"/>
    </xf>
    <xf numFmtId="3" fontId="11" fillId="0" borderId="2" xfId="0" applyNumberFormat="1" applyFont="1" applyFill="1" applyBorder="1" applyAlignment="1">
      <alignment horizontal="center" vertical="center" wrapText="1"/>
    </xf>
    <xf numFmtId="3" fontId="11" fillId="0" borderId="3" xfId="0" applyNumberFormat="1" applyFont="1" applyFill="1" applyBorder="1" applyAlignment="1">
      <alignment horizontal="center" vertical="center" wrapText="1"/>
    </xf>
  </cellXfs>
  <cellStyles count="185"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20% - Акцент1 2" xfId="18"/>
    <cellStyle name="20% - Акцент1 2 2" xfId="19"/>
    <cellStyle name="20% - Акцент2 2" xfId="20"/>
    <cellStyle name="20% - Акцент2 2 2" xfId="21"/>
    <cellStyle name="20% - Акцент3 2" xfId="22"/>
    <cellStyle name="20% - Акцент3 2 2" xfId="23"/>
    <cellStyle name="20% - Акцент4 2" xfId="24"/>
    <cellStyle name="20% - Акцент4 2 2" xfId="25"/>
    <cellStyle name="20% - Акцент5 2" xfId="26"/>
    <cellStyle name="20% - Акцент5 2 2" xfId="27"/>
    <cellStyle name="20% - Акцент6 2" xfId="28"/>
    <cellStyle name="20% - Акцент6 2 2" xfId="29"/>
    <cellStyle name="40% - Accent1" xfId="30"/>
    <cellStyle name="40% - Accent2" xfId="31"/>
    <cellStyle name="40% - Accent3" xfId="32"/>
    <cellStyle name="40% - Accent4" xfId="33"/>
    <cellStyle name="40% - Accent5" xfId="34"/>
    <cellStyle name="40% - Accent6" xfId="35"/>
    <cellStyle name="40% - Акцент1 2" xfId="36"/>
    <cellStyle name="40% - Акцент1 2 2" xfId="37"/>
    <cellStyle name="40% - Акцент2 2" xfId="38"/>
    <cellStyle name="40% - Акцент2 2 2" xfId="39"/>
    <cellStyle name="40% - Акцент3 2" xfId="40"/>
    <cellStyle name="40% - Акцент3 2 2" xfId="41"/>
    <cellStyle name="40% - Акцент4 2" xfId="42"/>
    <cellStyle name="40% - Акцент4 2 2" xfId="43"/>
    <cellStyle name="40% - Акцент5 2" xfId="44"/>
    <cellStyle name="40% - Акцент5 2 2" xfId="45"/>
    <cellStyle name="40% - Акцент6 2" xfId="46"/>
    <cellStyle name="40% - Акцент6 2 2" xfId="47"/>
    <cellStyle name="60% - Accent1" xfId="48"/>
    <cellStyle name="60% - Accent2" xfId="49"/>
    <cellStyle name="60% - Accent3" xfId="50"/>
    <cellStyle name="60% - Accent4" xfId="51"/>
    <cellStyle name="60% - Accent5" xfId="52"/>
    <cellStyle name="60% - Accent6" xfId="53"/>
    <cellStyle name="60% - Акцент1 2" xfId="54"/>
    <cellStyle name="60% - Акцент1 2 2" xfId="55"/>
    <cellStyle name="60% - Акцент2 2" xfId="56"/>
    <cellStyle name="60% - Акцент2 2 2" xfId="57"/>
    <cellStyle name="60% - Акцент3 2" xfId="58"/>
    <cellStyle name="60% - Акцент3 2 2" xfId="59"/>
    <cellStyle name="60% - Акцент4 2" xfId="60"/>
    <cellStyle name="60% - Акцент4 2 2" xfId="61"/>
    <cellStyle name="60% - Акцент5 2" xfId="62"/>
    <cellStyle name="60% - Акцент5 2 2" xfId="63"/>
    <cellStyle name="60% - Акцент6 2" xfId="64"/>
    <cellStyle name="60% - Акцент6 2 2" xfId="65"/>
    <cellStyle name="Accent1" xfId="66"/>
    <cellStyle name="Accent2" xfId="67"/>
    <cellStyle name="Accent3" xfId="68"/>
    <cellStyle name="Accent4" xfId="69"/>
    <cellStyle name="Accent5" xfId="70"/>
    <cellStyle name="Accent6" xfId="71"/>
    <cellStyle name="Bad" xfId="72"/>
    <cellStyle name="Calculation" xfId="73"/>
    <cellStyle name="Check Cell" xfId="74"/>
    <cellStyle name="Explanatory Text" xfId="75"/>
    <cellStyle name="Good" xfId="76"/>
    <cellStyle name="Heading 1" xfId="77"/>
    <cellStyle name="Heading 2" xfId="78"/>
    <cellStyle name="Heading 3" xfId="79"/>
    <cellStyle name="Heading 4" xfId="80"/>
    <cellStyle name="Input" xfId="81"/>
    <cellStyle name="Linked Cell" xfId="82"/>
    <cellStyle name="Neutral" xfId="83"/>
    <cellStyle name="Note" xfId="84"/>
    <cellStyle name="Output" xfId="85"/>
    <cellStyle name="Title" xfId="86"/>
    <cellStyle name="Total" xfId="87"/>
    <cellStyle name="Warning Text" xfId="88"/>
    <cellStyle name="Акцент1 2" xfId="89"/>
    <cellStyle name="Акцент1 2 2" xfId="90"/>
    <cellStyle name="Акцент2 2" xfId="91"/>
    <cellStyle name="Акцент2 2 2" xfId="92"/>
    <cellStyle name="Акцент3 2" xfId="93"/>
    <cellStyle name="Акцент3 2 2" xfId="94"/>
    <cellStyle name="Акцент4 2" xfId="95"/>
    <cellStyle name="Акцент4 2 2" xfId="96"/>
    <cellStyle name="Акцент5 2" xfId="97"/>
    <cellStyle name="Акцент5 2 2" xfId="98"/>
    <cellStyle name="Акцент6 2" xfId="99"/>
    <cellStyle name="Акцент6 2 2" xfId="100"/>
    <cellStyle name="Ввод  2" xfId="101"/>
    <cellStyle name="Ввод  2 2" xfId="102"/>
    <cellStyle name="Вывод 2" xfId="103"/>
    <cellStyle name="Вывод 2 2" xfId="104"/>
    <cellStyle name="Вычисление 2" xfId="105"/>
    <cellStyle name="Вычисление 2 2" xfId="106"/>
    <cellStyle name="Гиперссылка 2" xfId="3"/>
    <cellStyle name="Гиперссылка 2 10" xfId="145"/>
    <cellStyle name="Гиперссылка 2 11" xfId="151"/>
    <cellStyle name="Гиперссылка 2 12" xfId="144"/>
    <cellStyle name="Гиперссылка 2 13" xfId="153"/>
    <cellStyle name="Гиперссылка 2 2" xfId="107"/>
    <cellStyle name="Гиперссылка 2 3" xfId="154"/>
    <cellStyle name="Гиперссылка 2 4" xfId="147"/>
    <cellStyle name="Гиперссылка 2 5" xfId="149"/>
    <cellStyle name="Гиперссылка 2 6" xfId="148"/>
    <cellStyle name="Гиперссылка 2 7" xfId="150"/>
    <cellStyle name="Гиперссылка 2 8" xfId="146"/>
    <cellStyle name="Гиперссылка 2 9" xfId="152"/>
    <cellStyle name="Заголовок 1 2" xfId="108"/>
    <cellStyle name="Заголовок 1 2 2" xfId="109"/>
    <cellStyle name="Заголовок 2 2" xfId="110"/>
    <cellStyle name="Заголовок 2 2 2" xfId="111"/>
    <cellStyle name="Заголовок 3 2" xfId="112"/>
    <cellStyle name="Заголовок 3 2 2" xfId="113"/>
    <cellStyle name="Заголовок 4 2" xfId="114"/>
    <cellStyle name="Заголовок 4 2 2" xfId="115"/>
    <cellStyle name="Итог 2" xfId="116"/>
    <cellStyle name="Итог 2 2" xfId="117"/>
    <cellStyle name="Контрольная ячейка 2" xfId="118"/>
    <cellStyle name="Контрольная ячейка 2 2" xfId="119"/>
    <cellStyle name="Название 2" xfId="120"/>
    <cellStyle name="Название 2 2" xfId="121"/>
    <cellStyle name="Нейтральный 2" xfId="122"/>
    <cellStyle name="Нейтральный 2 2" xfId="123"/>
    <cellStyle name="Обычный" xfId="0" builtinId="0"/>
    <cellStyle name="Обычный 2" xfId="1"/>
    <cellStyle name="Обычный 2 10 2" xfId="124"/>
    <cellStyle name="Обычный 2 2" xfId="125"/>
    <cellStyle name="Обычный 3" xfId="9"/>
    <cellStyle name="Обычный 3 10" xfId="11"/>
    <cellStyle name="Обычный 3 11" xfId="157"/>
    <cellStyle name="Обычный 3 12" xfId="165"/>
    <cellStyle name="Обычный 3 13" xfId="159"/>
    <cellStyle name="Обычный 3 2" xfId="126"/>
    <cellStyle name="Обычный 3 3" xfId="161"/>
    <cellStyle name="Обычный 3 4" xfId="142"/>
    <cellStyle name="Обычный 3 5" xfId="155"/>
    <cellStyle name="Обычный 3 6" xfId="143"/>
    <cellStyle name="Обычный 3 7" xfId="156"/>
    <cellStyle name="Обычный 3 8" xfId="141"/>
    <cellStyle name="Обычный 3 9" xfId="158"/>
    <cellStyle name="Плохой 2" xfId="127"/>
    <cellStyle name="Плохой 2 2" xfId="128"/>
    <cellStyle name="Пояснение 2" xfId="129"/>
    <cellStyle name="Пояснение 2 2" xfId="130"/>
    <cellStyle name="Примечание 2" xfId="131"/>
    <cellStyle name="Примечание 2 2" xfId="132"/>
    <cellStyle name="Процентный" xfId="10" builtinId="5"/>
    <cellStyle name="Процентный 2" xfId="2"/>
    <cellStyle name="Процентный 2 10" xfId="170"/>
    <cellStyle name="Процентный 2 11" xfId="173"/>
    <cellStyle name="Процентный 2 12" xfId="175"/>
    <cellStyle name="Процентный 2 13" xfId="179"/>
    <cellStyle name="Процентный 2 2" xfId="133"/>
    <cellStyle name="Процентный 2 3" xfId="163"/>
    <cellStyle name="Процентный 2 4" xfId="166"/>
    <cellStyle name="Процентный 2 5" xfId="160"/>
    <cellStyle name="Процентный 2 6" xfId="167"/>
    <cellStyle name="Процентный 2 7" xfId="162"/>
    <cellStyle name="Процентный 2 8" xfId="168"/>
    <cellStyle name="Процентный 2 9" xfId="172"/>
    <cellStyle name="Процентный 3" xfId="4"/>
    <cellStyle name="Процентный 4" xfId="8"/>
    <cellStyle name="Связанная ячейка 2" xfId="134"/>
    <cellStyle name="Связанная ячейка 2 2" xfId="135"/>
    <cellStyle name="Текст предупреждения 2" xfId="136"/>
    <cellStyle name="Текст предупреждения 2 2" xfId="137"/>
    <cellStyle name="Финансовый" xfId="184" builtinId="3"/>
    <cellStyle name="Финансовый 2" xfId="5"/>
    <cellStyle name="Финансовый 2 10" xfId="180"/>
    <cellStyle name="Финансовый 2 11" xfId="181"/>
    <cellStyle name="Финансовый 2 12" xfId="182"/>
    <cellStyle name="Финансовый 2 13" xfId="183"/>
    <cellStyle name="Финансовый 2 2" xfId="138"/>
    <cellStyle name="Финансовый 2 3" xfId="164"/>
    <cellStyle name="Финансовый 2 4" xfId="169"/>
    <cellStyle name="Финансовый 2 5" xfId="171"/>
    <cellStyle name="Финансовый 2 6" xfId="174"/>
    <cellStyle name="Финансовый 2 7" xfId="176"/>
    <cellStyle name="Финансовый 2 8" xfId="177"/>
    <cellStyle name="Финансовый 2 9" xfId="178"/>
    <cellStyle name="Финансовый 3" xfId="6"/>
    <cellStyle name="Финансовый 4" xfId="7"/>
    <cellStyle name="Хороший 2" xfId="139"/>
    <cellStyle name="Хороший 2 2" xfId="140"/>
  </cellStyles>
  <dxfs count="0"/>
  <tableStyles count="0" defaultTableStyle="TableStyleMedium9" defaultPivotStyle="PivotStyleLight16"/>
  <colors>
    <mruColors>
      <color rgb="FF66FF66"/>
      <color rgb="FF99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6.3008204567240614E-2"/>
          <c:y val="2.2379557627496292E-2"/>
          <c:w val="0.86680468096179464"/>
          <c:h val="0.78572798081160777"/>
        </c:manualLayout>
      </c:layout>
      <c:barChart>
        <c:barDir val="col"/>
        <c:grouping val="clustered"/>
        <c:ser>
          <c:idx val="0"/>
          <c:order val="0"/>
          <c:tx>
            <c:v>Сводная оценка качества</c:v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 w="190500" h="38100"/>
            </a:sp3d>
          </c:spPr>
          <c:dLbls>
            <c:dLbl>
              <c:idx val="1"/>
              <c:layout>
                <c:manualLayout>
                  <c:x val="1.4635784469980641E-3"/>
                  <c:y val="-1.4110031581710715E-2"/>
                </c:manualLayout>
              </c:layout>
              <c:dLblPos val="inEnd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layout>
                <c:manualLayout>
                  <c:x val="0"/>
                  <c:y val="-6.0471563921617524E-3"/>
                </c:manualLayout>
              </c:layout>
              <c:dLblPos val="inEnd"/>
              <c:showVal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b="1"/>
                </a:pPr>
                <a:endParaRPr lang="ru-RU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Результат!$H$7:$H$29</c:f>
              <c:strCache>
                <c:ptCount val="6"/>
                <c:pt idx="0">
                  <c:v>Игрим</c:v>
                </c:pt>
                <c:pt idx="1">
                  <c:v>Приполярный</c:v>
                </c:pt>
                <c:pt idx="2">
                  <c:v>Светлый</c:v>
                </c:pt>
                <c:pt idx="3">
                  <c:v>Саранпауль</c:v>
                </c:pt>
                <c:pt idx="4">
                  <c:v>Березово</c:v>
                </c:pt>
                <c:pt idx="5">
                  <c:v>Хулимсунт</c:v>
                </c:pt>
              </c:strCache>
            </c:strRef>
          </c:cat>
          <c:val>
            <c:numRef>
              <c:f>Результат!$I$7:$I$29</c:f>
              <c:numCache>
                <c:formatCode>0.00</c:formatCode>
                <c:ptCount val="6"/>
                <c:pt idx="0">
                  <c:v>54.987276027452694</c:v>
                </c:pt>
                <c:pt idx="1">
                  <c:v>51.554389794566717</c:v>
                </c:pt>
                <c:pt idx="2">
                  <c:v>50.932152932748046</c:v>
                </c:pt>
                <c:pt idx="3">
                  <c:v>49.533828994726797</c:v>
                </c:pt>
                <c:pt idx="4">
                  <c:v>49.045206529135996</c:v>
                </c:pt>
                <c:pt idx="5">
                  <c:v>41.301688496124882</c:v>
                </c:pt>
              </c:numCache>
            </c:numRef>
          </c:val>
        </c:ser>
        <c:axId val="139751808"/>
        <c:axId val="139753344"/>
      </c:barChart>
      <c:lineChart>
        <c:grouping val="standard"/>
        <c:ser>
          <c:idx val="1"/>
          <c:order val="1"/>
          <c:tx>
            <c:v>Размер дотации (тыс.руб.)</c:v>
          </c:tx>
          <c:spPr>
            <a:ln>
              <a:noFill/>
            </a:ln>
            <a:effectLst>
              <a:glow rad="63500">
                <a:schemeClr val="accent2">
                  <a:satMod val="175000"/>
                  <a:alpha val="40000"/>
                </a:schemeClr>
              </a:glow>
            </a:effectLst>
          </c:spPr>
          <c:marker>
            <c:spPr>
              <a:solidFill>
                <a:schemeClr val="accent2">
                  <a:lumMod val="75000"/>
                </a:schemeClr>
              </a:solidFill>
              <a:effectLst>
                <a:glow rad="635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</c:marker>
          <c:dLbls>
            <c:dLbl>
              <c:idx val="0"/>
              <c:layout>
                <c:manualLayout>
                  <c:x val="-1.7562941363976747E-2"/>
                  <c:y val="2.8220063163421471E-2"/>
                </c:manualLayout>
              </c:layout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1.6099362916978697E-2"/>
                  <c:y val="-3.0235781960808714E-2"/>
                </c:manualLayout>
              </c:layout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4.3907353409941884E-3"/>
                  <c:y val="-1.4110031581710735E-2"/>
                </c:manualLayout>
              </c:layout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layout>
                <c:manualLayout>
                  <c:x val="-4.3907353409941884E-3"/>
                  <c:y val="3.0235781960808714E-2"/>
                </c:manualLayout>
              </c:layout>
              <c:showVal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1"/>
                </a:pPr>
                <a:endParaRPr lang="ru-RU"/>
              </a:p>
            </c:tx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Результат!$H$7:$H$29</c:f>
              <c:strCache>
                <c:ptCount val="6"/>
                <c:pt idx="0">
                  <c:v>Игрим</c:v>
                </c:pt>
                <c:pt idx="1">
                  <c:v>Приполярный</c:v>
                </c:pt>
                <c:pt idx="2">
                  <c:v>Светлый</c:v>
                </c:pt>
                <c:pt idx="3">
                  <c:v>Саранпауль</c:v>
                </c:pt>
                <c:pt idx="4">
                  <c:v>Березово</c:v>
                </c:pt>
                <c:pt idx="5">
                  <c:v>Хулимсунт</c:v>
                </c:pt>
              </c:strCache>
            </c:strRef>
          </c:cat>
          <c:val>
            <c:numRef>
              <c:f>Результат!$J$7:$J$29</c:f>
              <c:numCache>
                <c:formatCode>#,##0</c:formatCode>
                <c:ptCount val="6"/>
                <c:pt idx="0">
                  <c:v>617.08137730453154</c:v>
                </c:pt>
                <c:pt idx="1">
                  <c:v>226.827555036468</c:v>
                </c:pt>
                <c:pt idx="2">
                  <c:v>156.09106765900043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marker val="1"/>
        <c:axId val="66740992"/>
        <c:axId val="224927744"/>
      </c:lineChart>
      <c:catAx>
        <c:axId val="139751808"/>
        <c:scaling>
          <c:orientation val="minMax"/>
        </c:scaling>
        <c:axPos val="b"/>
        <c:numFmt formatCode="General" sourceLinked="1"/>
        <c:tickLblPos val="nextTo"/>
        <c:crossAx val="139753344"/>
        <c:crosses val="autoZero"/>
        <c:auto val="1"/>
        <c:lblAlgn val="ctr"/>
        <c:lblOffset val="100"/>
      </c:catAx>
      <c:valAx>
        <c:axId val="139753344"/>
        <c:scaling>
          <c:orientation val="minMax"/>
        </c:scaling>
        <c:axPos val="l"/>
        <c:majorGridlines/>
        <c:numFmt formatCode="0.00" sourceLinked="1"/>
        <c:tickLblPos val="nextTo"/>
        <c:crossAx val="139751808"/>
        <c:crosses val="autoZero"/>
        <c:crossBetween val="between"/>
      </c:valAx>
      <c:valAx>
        <c:axId val="224927744"/>
        <c:scaling>
          <c:orientation val="minMax"/>
        </c:scaling>
        <c:axPos val="r"/>
        <c:numFmt formatCode="#,##0" sourceLinked="1"/>
        <c:tickLblPos val="nextTo"/>
        <c:crossAx val="66740992"/>
        <c:crosses val="max"/>
        <c:crossBetween val="between"/>
      </c:valAx>
      <c:catAx>
        <c:axId val="66740992"/>
        <c:scaling>
          <c:orientation val="minMax"/>
        </c:scaling>
        <c:delete val="1"/>
        <c:axPos val="b"/>
        <c:numFmt formatCode="General" sourceLinked="1"/>
        <c:tickLblPos val="none"/>
        <c:crossAx val="224927744"/>
        <c:crosses val="autoZero"/>
        <c:auto val="1"/>
        <c:lblAlgn val="ctr"/>
        <c:lblOffset val="100"/>
      </c:catAx>
    </c:plotArea>
    <c:legend>
      <c:legendPos val="b"/>
      <c:layout>
        <c:manualLayout>
          <c:xMode val="edge"/>
          <c:yMode val="edge"/>
          <c:x val="0.28751560670166831"/>
          <c:y val="0.93331414961585457"/>
          <c:w val="0.42496878659668003"/>
          <c:h val="5.4591537599822132E-2"/>
        </c:manualLayout>
      </c:layout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Диаграмма2"/>
  <sheetViews>
    <sheetView workbookViewId="0"/>
  </sheetViews>
  <customSheetViews>
    <customSheetView guid="{8ABC692A-193F-4EA9-A7E8-F3C636A6C39C}">
      <pageMargins left="0.7" right="0.7" top="0.75" bottom="0.75" header="0.3" footer="0.3"/>
    </customSheetView>
    <customSheetView guid="{147A8583-3101-4745-816E-6D404CE92D5B}">
      <pageMargins left="0.7" right="0.7" top="0.75" bottom="0.75" header="0.3" footer="0.3"/>
    </customSheetView>
  </custom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780" cy="606552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_srv_file\Work\&#1061;&#1052;&#1040;&#1054;\Project%202010\Data\2011-01-31%20&#1054;&#1090;%20&#1043;&#1083;&#1077;&#1073;&#1072;\&#1085;&#1072;&#1084;&#1077;&#1090;&#1082;&#1080;%20&#1076;&#1083;&#1103;%20&#1084;&#1086;&#1076;&#1077;&#1083;&#1080;%20(&#1057;&#1084;&#1086;&#1083;&#1077;&#1085;&#1089;&#1082;&#1072;&#1103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правочник"/>
      <sheetName val="Ввод"/>
      <sheetName val="Результат"/>
      <sheetName val="Данные"/>
      <sheetName val="Показатели"/>
      <sheetName val="Баллы"/>
      <sheetName val="Оценка"/>
      <sheetName val="Рейтинг"/>
      <sheetName val="Распределение средств"/>
      <sheetName val="Диаграммы"/>
      <sheetName val="Рис1"/>
      <sheetName val="Рис2"/>
      <sheetName val="Рис3"/>
    </sheetNames>
    <sheetDataSet>
      <sheetData sheetId="0">
        <row r="30">
          <cell r="B30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M32"/>
  <sheetViews>
    <sheetView workbookViewId="0">
      <selection activeCell="A2" sqref="A2:J2"/>
    </sheetView>
  </sheetViews>
  <sheetFormatPr defaultColWidth="9.140625" defaultRowHeight="15"/>
  <cols>
    <col min="1" max="3" width="6.42578125" style="7" customWidth="1"/>
    <col min="4" max="4" width="21.85546875" style="70" customWidth="1"/>
    <col min="5" max="5" width="26.140625" style="7" hidden="1" customWidth="1"/>
    <col min="6" max="6" width="16" style="7" customWidth="1"/>
    <col min="7" max="7" width="12.5703125" style="7" customWidth="1"/>
    <col min="8" max="8" width="19.5703125" style="70" customWidth="1"/>
    <col min="9" max="9" width="21.85546875" style="7" customWidth="1"/>
    <col min="10" max="10" width="16" style="7" customWidth="1"/>
    <col min="11" max="16384" width="9.140625" style="7"/>
  </cols>
  <sheetData>
    <row r="1" spans="1:13">
      <c r="J1" s="97" t="s">
        <v>100</v>
      </c>
    </row>
    <row r="2" spans="1:13" ht="57.75" customHeight="1">
      <c r="A2" s="228" t="s">
        <v>243</v>
      </c>
      <c r="B2" s="228"/>
      <c r="C2" s="228"/>
      <c r="D2" s="228"/>
      <c r="E2" s="228"/>
      <c r="F2" s="228"/>
      <c r="G2" s="228"/>
      <c r="H2" s="228"/>
      <c r="I2" s="228"/>
      <c r="J2" s="228"/>
    </row>
    <row r="4" spans="1:13" s="99" customFormat="1" ht="15" customHeight="1">
      <c r="A4" s="229" t="s">
        <v>0</v>
      </c>
      <c r="B4" s="117"/>
      <c r="C4" s="119"/>
      <c r="D4" s="229" t="s">
        <v>218</v>
      </c>
      <c r="E4" s="229" t="s">
        <v>64</v>
      </c>
      <c r="F4" s="229" t="s">
        <v>38</v>
      </c>
      <c r="G4" s="231" t="s">
        <v>36</v>
      </c>
      <c r="H4" s="232"/>
      <c r="I4" s="233"/>
      <c r="J4" s="229" t="s">
        <v>38</v>
      </c>
      <c r="K4" s="98"/>
      <c r="L4" s="98"/>
      <c r="M4" s="98"/>
    </row>
    <row r="5" spans="1:13" s="99" customFormat="1" ht="28.5">
      <c r="A5" s="230"/>
      <c r="B5" s="118"/>
      <c r="C5" s="119"/>
      <c r="D5" s="230"/>
      <c r="E5" s="230"/>
      <c r="F5" s="230"/>
      <c r="G5" s="119" t="s">
        <v>37</v>
      </c>
      <c r="H5" s="119" t="s">
        <v>218</v>
      </c>
      <c r="I5" s="119" t="s">
        <v>64</v>
      </c>
      <c r="J5" s="230"/>
      <c r="K5" s="98"/>
      <c r="L5" s="98"/>
      <c r="M5" s="98"/>
    </row>
    <row r="6" spans="1:13" s="99" customFormat="1">
      <c r="A6" s="119"/>
      <c r="B6" s="119"/>
      <c r="C6" s="119"/>
      <c r="D6" s="118"/>
      <c r="E6" s="119"/>
      <c r="F6" s="56">
        <f>SUM(F7:F12)</f>
        <v>999.99999999999989</v>
      </c>
      <c r="G6" s="119"/>
      <c r="H6" s="119"/>
      <c r="I6" s="119"/>
      <c r="J6" s="56">
        <v>1000</v>
      </c>
      <c r="K6" s="98"/>
      <c r="L6" s="98"/>
      <c r="M6" s="98"/>
    </row>
    <row r="7" spans="1:13">
      <c r="A7" s="100">
        <v>1</v>
      </c>
      <c r="B7" s="100">
        <v>1</v>
      </c>
      <c r="C7" s="101">
        <f>Расчет!F7</f>
        <v>5</v>
      </c>
      <c r="D7" s="102" t="str">
        <f>Расчет!B7</f>
        <v>Березово</v>
      </c>
      <c r="E7" s="103">
        <f>Расчет!D7</f>
        <v>49.045206529135996</v>
      </c>
      <c r="F7" s="57">
        <f>Расчет!I7</f>
        <v>0</v>
      </c>
      <c r="G7" s="100">
        <f t="shared" ref="G7:G19" si="0">VLOOKUP(A7,$C$7:$F$29,COLUMN(C:C)-COLUMN($C:$C)+1,0)</f>
        <v>1</v>
      </c>
      <c r="H7" s="102" t="str">
        <f t="shared" ref="H7:H19" si="1">VLOOKUP(A7,$C$7:$F$29,COLUMN(D:D)-COLUMN($C:$C)+1,0)</f>
        <v>Игрим</v>
      </c>
      <c r="I7" s="104">
        <f>VLOOKUP(A7,$C$7:$F$29,COLUMN(E:E)-COLUMN($C:$C)+1,0)</f>
        <v>54.987276027452694</v>
      </c>
      <c r="J7" s="57">
        <f t="shared" ref="J7:J19" si="2">VLOOKUP(A7,$C$7:$F$29,COLUMN(F:F)-COLUMN($C:$C)+1,0)</f>
        <v>617.08137730453154</v>
      </c>
      <c r="K7" s="71"/>
      <c r="L7" s="71"/>
      <c r="M7" s="71"/>
    </row>
    <row r="8" spans="1:13">
      <c r="A8" s="100">
        <v>2</v>
      </c>
      <c r="B8" s="100">
        <v>2</v>
      </c>
      <c r="C8" s="101">
        <f>Расчет!F8</f>
        <v>1</v>
      </c>
      <c r="D8" s="102" t="str">
        <f>Расчет!B8</f>
        <v>Игрим</v>
      </c>
      <c r="E8" s="103">
        <f>Расчет!D8</f>
        <v>54.987276027452694</v>
      </c>
      <c r="F8" s="57">
        <f>Расчет!I8</f>
        <v>617.08137730453154</v>
      </c>
      <c r="G8" s="100">
        <f t="shared" si="0"/>
        <v>2</v>
      </c>
      <c r="H8" s="102" t="str">
        <f t="shared" si="1"/>
        <v>Приполярный</v>
      </c>
      <c r="I8" s="104">
        <f t="shared" ref="I8:I19" si="3">VLOOKUP(A8,$C$7:$F$29,COLUMN(E:E)-COLUMN($C:$C)+1,0)</f>
        <v>51.554389794566717</v>
      </c>
      <c r="J8" s="57">
        <f t="shared" si="2"/>
        <v>226.827555036468</v>
      </c>
      <c r="K8" s="71"/>
      <c r="L8" s="71"/>
      <c r="M8" s="71"/>
    </row>
    <row r="9" spans="1:13">
      <c r="A9" s="100">
        <v>3</v>
      </c>
      <c r="B9" s="100">
        <v>3</v>
      </c>
      <c r="C9" s="101">
        <f>Расчет!F9</f>
        <v>4</v>
      </c>
      <c r="D9" s="102" t="str">
        <f>Расчет!B9</f>
        <v>Саранпауль</v>
      </c>
      <c r="E9" s="103">
        <f>Расчет!D9</f>
        <v>49.533828994726797</v>
      </c>
      <c r="F9" s="57">
        <f>Расчет!I9</f>
        <v>0</v>
      </c>
      <c r="G9" s="100">
        <f t="shared" si="0"/>
        <v>3</v>
      </c>
      <c r="H9" s="102" t="str">
        <f t="shared" si="1"/>
        <v>Светлый</v>
      </c>
      <c r="I9" s="104">
        <f t="shared" si="3"/>
        <v>50.932152932748046</v>
      </c>
      <c r="J9" s="57">
        <f t="shared" si="2"/>
        <v>156.09106765900043</v>
      </c>
      <c r="K9" s="71"/>
      <c r="L9" s="71"/>
      <c r="M9" s="71"/>
    </row>
    <row r="10" spans="1:13">
      <c r="A10" s="100">
        <v>4</v>
      </c>
      <c r="B10" s="100">
        <v>4</v>
      </c>
      <c r="C10" s="101">
        <f>Расчет!F10</f>
        <v>3</v>
      </c>
      <c r="D10" s="102" t="str">
        <f>Расчет!B10</f>
        <v>Светлый</v>
      </c>
      <c r="E10" s="103">
        <f>Расчет!D10</f>
        <v>50.932152932748046</v>
      </c>
      <c r="F10" s="57">
        <f>Расчет!I10</f>
        <v>156.09106765900043</v>
      </c>
      <c r="G10" s="100">
        <f t="shared" si="0"/>
        <v>4</v>
      </c>
      <c r="H10" s="102" t="str">
        <f t="shared" si="1"/>
        <v>Саранпауль</v>
      </c>
      <c r="I10" s="104">
        <f t="shared" si="3"/>
        <v>49.533828994726797</v>
      </c>
      <c r="J10" s="57">
        <f t="shared" si="2"/>
        <v>0</v>
      </c>
      <c r="K10" s="71"/>
      <c r="L10" s="71"/>
      <c r="M10" s="71"/>
    </row>
    <row r="11" spans="1:13">
      <c r="A11" s="100">
        <v>5</v>
      </c>
      <c r="B11" s="100">
        <v>5</v>
      </c>
      <c r="C11" s="101">
        <f>Расчет!F11</f>
        <v>2</v>
      </c>
      <c r="D11" s="102" t="str">
        <f>Расчет!B11</f>
        <v>Приполярный</v>
      </c>
      <c r="E11" s="103">
        <f>Расчет!D11</f>
        <v>51.554389794566717</v>
      </c>
      <c r="F11" s="57">
        <f>Расчет!I11</f>
        <v>226.827555036468</v>
      </c>
      <c r="G11" s="100">
        <f t="shared" si="0"/>
        <v>5</v>
      </c>
      <c r="H11" s="102" t="str">
        <f t="shared" si="1"/>
        <v>Березово</v>
      </c>
      <c r="I11" s="104">
        <f t="shared" si="3"/>
        <v>49.045206529135996</v>
      </c>
      <c r="J11" s="57">
        <f t="shared" si="2"/>
        <v>0</v>
      </c>
      <c r="K11" s="71"/>
      <c r="L11" s="71"/>
      <c r="M11" s="71"/>
    </row>
    <row r="12" spans="1:13">
      <c r="A12" s="100">
        <v>6</v>
      </c>
      <c r="B12" s="100">
        <v>6</v>
      </c>
      <c r="C12" s="101">
        <f>Расчет!F12</f>
        <v>6</v>
      </c>
      <c r="D12" s="102" t="str">
        <f>Расчет!B12</f>
        <v>Хулимсунт</v>
      </c>
      <c r="E12" s="103">
        <f>Расчет!D12</f>
        <v>41.301688496124882</v>
      </c>
      <c r="F12" s="57">
        <f>Расчет!I12</f>
        <v>0</v>
      </c>
      <c r="G12" s="100">
        <f t="shared" si="0"/>
        <v>6</v>
      </c>
      <c r="H12" s="102" t="str">
        <f t="shared" si="1"/>
        <v>Хулимсунт</v>
      </c>
      <c r="I12" s="104">
        <f t="shared" si="3"/>
        <v>41.301688496124882</v>
      </c>
      <c r="J12" s="57">
        <f t="shared" si="2"/>
        <v>0</v>
      </c>
      <c r="K12" s="71"/>
      <c r="L12" s="71"/>
      <c r="M12" s="71"/>
    </row>
    <row r="13" spans="1:13" hidden="1">
      <c r="A13" s="100">
        <v>7</v>
      </c>
      <c r="B13" s="100">
        <v>7</v>
      </c>
      <c r="C13" s="101" t="e">
        <f>Расчет!F13</f>
        <v>#N/A</v>
      </c>
      <c r="D13" s="102" t="str">
        <f>Расчет!B13</f>
        <v>Когалым</v>
      </c>
      <c r="E13" s="103" t="e">
        <f>Расчет!#REF!</f>
        <v>#REF!</v>
      </c>
      <c r="F13" s="57" t="e">
        <f>Расчет!I13</f>
        <v>#N/A</v>
      </c>
      <c r="G13" s="100" t="e">
        <f t="shared" si="0"/>
        <v>#N/A</v>
      </c>
      <c r="H13" s="102" t="e">
        <f t="shared" si="1"/>
        <v>#N/A</v>
      </c>
      <c r="I13" s="104" t="e">
        <f t="shared" si="3"/>
        <v>#N/A</v>
      </c>
      <c r="J13" s="57" t="e">
        <f t="shared" si="2"/>
        <v>#N/A</v>
      </c>
      <c r="K13" s="71"/>
      <c r="L13" s="71"/>
      <c r="M13" s="71"/>
    </row>
    <row r="14" spans="1:13" hidden="1">
      <c r="A14" s="100">
        <v>8</v>
      </c>
      <c r="B14" s="100">
        <v>8</v>
      </c>
      <c r="C14" s="101" t="e">
        <f>Расчет!F14</f>
        <v>#N/A</v>
      </c>
      <c r="D14" s="102" t="str">
        <f>Расчет!B14</f>
        <v>Радужный</v>
      </c>
      <c r="E14" s="103" t="e">
        <f>Расчет!#REF!</f>
        <v>#REF!</v>
      </c>
      <c r="F14" s="57" t="e">
        <f>Расчет!I14</f>
        <v>#N/A</v>
      </c>
      <c r="G14" s="100" t="e">
        <f t="shared" si="0"/>
        <v>#N/A</v>
      </c>
      <c r="H14" s="102" t="e">
        <f t="shared" si="1"/>
        <v>#N/A</v>
      </c>
      <c r="I14" s="104" t="e">
        <f t="shared" si="3"/>
        <v>#N/A</v>
      </c>
      <c r="J14" s="57" t="e">
        <f t="shared" si="2"/>
        <v>#N/A</v>
      </c>
      <c r="K14" s="71"/>
      <c r="L14" s="71"/>
      <c r="M14" s="71"/>
    </row>
    <row r="15" spans="1:13" hidden="1">
      <c r="A15" s="100">
        <v>9</v>
      </c>
      <c r="B15" s="100">
        <v>9</v>
      </c>
      <c r="C15" s="101" t="e">
        <f>Расчет!F15</f>
        <v>#N/A</v>
      </c>
      <c r="D15" s="102" t="str">
        <f>Расчет!B15</f>
        <v>Лангепас</v>
      </c>
      <c r="E15" s="103" t="e">
        <f>Расчет!#REF!</f>
        <v>#REF!</v>
      </c>
      <c r="F15" s="57" t="e">
        <f>Расчет!I15</f>
        <v>#N/A</v>
      </c>
      <c r="G15" s="100" t="e">
        <f t="shared" si="0"/>
        <v>#N/A</v>
      </c>
      <c r="H15" s="102" t="e">
        <f t="shared" si="1"/>
        <v>#N/A</v>
      </c>
      <c r="I15" s="104" t="e">
        <f t="shared" si="3"/>
        <v>#N/A</v>
      </c>
      <c r="J15" s="57" t="e">
        <f t="shared" si="2"/>
        <v>#N/A</v>
      </c>
      <c r="K15" s="71"/>
      <c r="L15" s="71"/>
      <c r="M15" s="71"/>
    </row>
    <row r="16" spans="1:13" hidden="1">
      <c r="A16" s="100">
        <v>10</v>
      </c>
      <c r="B16" s="100">
        <v>10</v>
      </c>
      <c r="C16" s="101" t="e">
        <f>Расчет!F16</f>
        <v>#N/A</v>
      </c>
      <c r="D16" s="102" t="str">
        <f>Расчет!B16</f>
        <v>Нягань</v>
      </c>
      <c r="E16" s="103" t="e">
        <f>Расчет!#REF!</f>
        <v>#REF!</v>
      </c>
      <c r="F16" s="57" t="e">
        <f>Расчет!I16</f>
        <v>#N/A</v>
      </c>
      <c r="G16" s="100" t="e">
        <f t="shared" si="0"/>
        <v>#N/A</v>
      </c>
      <c r="H16" s="102" t="e">
        <f t="shared" si="1"/>
        <v>#N/A</v>
      </c>
      <c r="I16" s="104" t="e">
        <f t="shared" si="3"/>
        <v>#N/A</v>
      </c>
      <c r="J16" s="57" t="e">
        <f t="shared" si="2"/>
        <v>#N/A</v>
      </c>
      <c r="K16" s="71"/>
      <c r="L16" s="71"/>
      <c r="M16" s="71"/>
    </row>
    <row r="17" spans="1:13" hidden="1">
      <c r="A17" s="100">
        <v>11</v>
      </c>
      <c r="B17" s="100">
        <v>11</v>
      </c>
      <c r="C17" s="101" t="e">
        <f>Расчет!F17</f>
        <v>#N/A</v>
      </c>
      <c r="D17" s="102" t="str">
        <f>Расчет!B17</f>
        <v>Пыть-Ях</v>
      </c>
      <c r="E17" s="103" t="e">
        <f>Расчет!#REF!</f>
        <v>#REF!</v>
      </c>
      <c r="F17" s="57" t="e">
        <f>Расчет!I17</f>
        <v>#N/A</v>
      </c>
      <c r="G17" s="100" t="e">
        <f t="shared" si="0"/>
        <v>#N/A</v>
      </c>
      <c r="H17" s="102" t="e">
        <f t="shared" si="1"/>
        <v>#N/A</v>
      </c>
      <c r="I17" s="104" t="e">
        <f t="shared" si="3"/>
        <v>#N/A</v>
      </c>
      <c r="J17" s="57" t="e">
        <f t="shared" si="2"/>
        <v>#N/A</v>
      </c>
      <c r="K17" s="71"/>
      <c r="L17" s="71"/>
      <c r="M17" s="71"/>
    </row>
    <row r="18" spans="1:13" hidden="1">
      <c r="A18" s="100">
        <v>12</v>
      </c>
      <c r="B18" s="100">
        <v>12</v>
      </c>
      <c r="C18" s="101" t="e">
        <f>Расчет!F18</f>
        <v>#N/A</v>
      </c>
      <c r="D18" s="102" t="str">
        <f>Расчет!B18</f>
        <v>Покачи</v>
      </c>
      <c r="E18" s="103" t="e">
        <f>Расчет!#REF!</f>
        <v>#REF!</v>
      </c>
      <c r="F18" s="57" t="e">
        <f>Расчет!I18</f>
        <v>#N/A</v>
      </c>
      <c r="G18" s="100" t="e">
        <f t="shared" si="0"/>
        <v>#N/A</v>
      </c>
      <c r="H18" s="102" t="e">
        <f t="shared" si="1"/>
        <v>#N/A</v>
      </c>
      <c r="I18" s="104" t="e">
        <f t="shared" si="3"/>
        <v>#N/A</v>
      </c>
      <c r="J18" s="57" t="e">
        <f t="shared" si="2"/>
        <v>#N/A</v>
      </c>
      <c r="K18" s="71"/>
      <c r="L18" s="71"/>
      <c r="M18" s="71"/>
    </row>
    <row r="19" spans="1:13" hidden="1">
      <c r="A19" s="100">
        <v>13</v>
      </c>
      <c r="B19" s="100">
        <v>13</v>
      </c>
      <c r="C19" s="101" t="e">
        <f>Расчет!F19</f>
        <v>#N/A</v>
      </c>
      <c r="D19" s="102" t="str">
        <f>Расчет!B19</f>
        <v>Югорск</v>
      </c>
      <c r="E19" s="103" t="e">
        <f>Расчет!#REF!</f>
        <v>#REF!</v>
      </c>
      <c r="F19" s="57" t="e">
        <f>Расчет!I19</f>
        <v>#N/A</v>
      </c>
      <c r="G19" s="100" t="e">
        <f t="shared" si="0"/>
        <v>#N/A</v>
      </c>
      <c r="H19" s="102" t="e">
        <f t="shared" si="1"/>
        <v>#N/A</v>
      </c>
      <c r="I19" s="104" t="e">
        <f t="shared" si="3"/>
        <v>#N/A</v>
      </c>
      <c r="J19" s="57" t="e">
        <f t="shared" si="2"/>
        <v>#N/A</v>
      </c>
      <c r="K19" s="71"/>
      <c r="L19" s="71"/>
      <c r="M19" s="71"/>
    </row>
    <row r="20" spans="1:13" s="99" customFormat="1" hidden="1">
      <c r="A20" s="119"/>
      <c r="B20" s="119"/>
      <c r="C20" s="119"/>
      <c r="D20" s="118"/>
      <c r="E20" s="119"/>
      <c r="F20" s="56" t="e">
        <f>SUM(F21:F29)</f>
        <v>#N/A</v>
      </c>
      <c r="G20" s="119"/>
      <c r="H20" s="119"/>
      <c r="I20" s="119"/>
      <c r="J20" s="56"/>
      <c r="K20" s="98"/>
      <c r="L20" s="98"/>
      <c r="M20" s="98"/>
    </row>
    <row r="21" spans="1:13" hidden="1">
      <c r="A21" s="100">
        <v>14</v>
      </c>
      <c r="B21" s="100">
        <v>1</v>
      </c>
      <c r="C21" s="101" t="e">
        <f>Расчет!F21</f>
        <v>#N/A</v>
      </c>
      <c r="D21" s="102" t="str">
        <f>Расчет!B21</f>
        <v>Белоярский</v>
      </c>
      <c r="E21" s="103" t="e">
        <f>Расчет!#REF!</f>
        <v>#REF!</v>
      </c>
      <c r="F21" s="57" t="e">
        <f>Расчет!I21</f>
        <v>#N/A</v>
      </c>
      <c r="G21" s="100" t="e">
        <f>VLOOKUP(B21,$C$21:$F$29,COLUMN(C:C)-COLUMN($C:$C)+1,0)</f>
        <v>#N/A</v>
      </c>
      <c r="H21" s="102" t="e">
        <f>VLOOKUP(B21,$C$21:$F$29,COLUMN(D:D)-COLUMN($C:$C)+1,0)</f>
        <v>#N/A</v>
      </c>
      <c r="I21" s="104" t="e">
        <f>VLOOKUP(B21,$C$21:$F$29,COLUMN(E:E)-COLUMN($C:$C)+1,0)</f>
        <v>#N/A</v>
      </c>
      <c r="J21" s="57" t="e">
        <f>VLOOKUP(B21,$C$21:$F$29,COLUMN(F:F)-COLUMN($C:$C)+1,0)</f>
        <v>#N/A</v>
      </c>
      <c r="K21" s="71"/>
      <c r="L21" s="71"/>
      <c r="M21" s="71"/>
    </row>
    <row r="22" spans="1:13" hidden="1">
      <c r="A22" s="100">
        <v>15</v>
      </c>
      <c r="B22" s="100">
        <v>2</v>
      </c>
      <c r="C22" s="101" t="e">
        <f>Расчет!F22</f>
        <v>#N/A</v>
      </c>
      <c r="D22" s="102" t="str">
        <f>Расчет!B22</f>
        <v>Березовский</v>
      </c>
      <c r="E22" s="103" t="e">
        <f>Расчет!#REF!</f>
        <v>#REF!</v>
      </c>
      <c r="F22" s="57" t="e">
        <f>Расчет!I22</f>
        <v>#N/A</v>
      </c>
      <c r="G22" s="100" t="e">
        <f t="shared" ref="G22:G29" si="4">VLOOKUP(B22,$C$21:$F$29,COLUMN(C:C)-COLUMN($C:$C)+1,0)</f>
        <v>#N/A</v>
      </c>
      <c r="H22" s="102" t="e">
        <f t="shared" ref="H22:H29" si="5">VLOOKUP(B22,$C$21:$F$29,COLUMN(D:D)-COLUMN($C:$C)+1,0)</f>
        <v>#N/A</v>
      </c>
      <c r="I22" s="104" t="e">
        <f t="shared" ref="I22:I29" si="6">VLOOKUP(B22,$C$21:$F$29,COLUMN(E:E)-COLUMN($C:$C)+1,0)</f>
        <v>#N/A</v>
      </c>
      <c r="J22" s="57" t="e">
        <f t="shared" ref="J22:J29" si="7">VLOOKUP(B22,$C$21:$F$29,COLUMN(F:F)-COLUMN($C:$C)+1,0)</f>
        <v>#N/A</v>
      </c>
      <c r="K22" s="71"/>
      <c r="L22" s="71"/>
      <c r="M22" s="71"/>
    </row>
    <row r="23" spans="1:13" hidden="1">
      <c r="A23" s="100">
        <v>16</v>
      </c>
      <c r="B23" s="100">
        <v>3</v>
      </c>
      <c r="C23" s="101" t="e">
        <f>Расчет!F23</f>
        <v>#N/A</v>
      </c>
      <c r="D23" s="102" t="str">
        <f>Расчет!B23</f>
        <v>Кондинский</v>
      </c>
      <c r="E23" s="103" t="e">
        <f>Расчет!#REF!</f>
        <v>#REF!</v>
      </c>
      <c r="F23" s="57" t="e">
        <f>Расчет!I23</f>
        <v>#N/A</v>
      </c>
      <c r="G23" s="100" t="e">
        <f t="shared" si="4"/>
        <v>#N/A</v>
      </c>
      <c r="H23" s="102" t="e">
        <f t="shared" si="5"/>
        <v>#N/A</v>
      </c>
      <c r="I23" s="104" t="e">
        <f t="shared" si="6"/>
        <v>#N/A</v>
      </c>
      <c r="J23" s="57" t="e">
        <f t="shared" si="7"/>
        <v>#N/A</v>
      </c>
      <c r="K23" s="71"/>
      <c r="L23" s="71"/>
      <c r="M23" s="71"/>
    </row>
    <row r="24" spans="1:13" hidden="1">
      <c r="A24" s="100">
        <v>17</v>
      </c>
      <c r="B24" s="100">
        <v>4</v>
      </c>
      <c r="C24" s="101" t="e">
        <f>Расчет!F24</f>
        <v>#N/A</v>
      </c>
      <c r="D24" s="102" t="str">
        <f>Расчет!B24</f>
        <v>Октябрьский</v>
      </c>
      <c r="E24" s="103" t="e">
        <f>Расчет!#REF!</f>
        <v>#REF!</v>
      </c>
      <c r="F24" s="57" t="e">
        <f>Расчет!I24</f>
        <v>#N/A</v>
      </c>
      <c r="G24" s="100" t="e">
        <f t="shared" si="4"/>
        <v>#N/A</v>
      </c>
      <c r="H24" s="102" t="e">
        <f t="shared" si="5"/>
        <v>#N/A</v>
      </c>
      <c r="I24" s="104" t="e">
        <f t="shared" si="6"/>
        <v>#N/A</v>
      </c>
      <c r="J24" s="57" t="e">
        <f t="shared" si="7"/>
        <v>#N/A</v>
      </c>
      <c r="K24" s="71"/>
      <c r="L24" s="71"/>
      <c r="M24" s="71"/>
    </row>
    <row r="25" spans="1:13" hidden="1">
      <c r="A25" s="100">
        <v>18</v>
      </c>
      <c r="B25" s="100">
        <v>5</v>
      </c>
      <c r="C25" s="101" t="e">
        <f>Расчет!F25</f>
        <v>#N/A</v>
      </c>
      <c r="D25" s="102" t="str">
        <f>Расчет!B25</f>
        <v>Сургутский</v>
      </c>
      <c r="E25" s="103" t="e">
        <f>Расчет!#REF!</f>
        <v>#REF!</v>
      </c>
      <c r="F25" s="57" t="e">
        <f>Расчет!I25</f>
        <v>#N/A</v>
      </c>
      <c r="G25" s="100" t="e">
        <f t="shared" si="4"/>
        <v>#N/A</v>
      </c>
      <c r="H25" s="102" t="e">
        <f t="shared" si="5"/>
        <v>#N/A</v>
      </c>
      <c r="I25" s="104" t="e">
        <f t="shared" si="6"/>
        <v>#N/A</v>
      </c>
      <c r="J25" s="57" t="e">
        <f t="shared" si="7"/>
        <v>#N/A</v>
      </c>
      <c r="K25" s="71"/>
      <c r="L25" s="71"/>
      <c r="M25" s="71"/>
    </row>
    <row r="26" spans="1:13" hidden="1">
      <c r="A26" s="100">
        <v>19</v>
      </c>
      <c r="B26" s="100">
        <v>6</v>
      </c>
      <c r="C26" s="101" t="e">
        <f>Расчет!F26</f>
        <v>#N/A</v>
      </c>
      <c r="D26" s="102" t="str">
        <f>Расчет!B26</f>
        <v>Советский</v>
      </c>
      <c r="E26" s="103" t="e">
        <f>Расчет!#REF!</f>
        <v>#REF!</v>
      </c>
      <c r="F26" s="57" t="e">
        <f>Расчет!I26</f>
        <v>#N/A</v>
      </c>
      <c r="G26" s="100" t="e">
        <f t="shared" si="4"/>
        <v>#N/A</v>
      </c>
      <c r="H26" s="102" t="e">
        <f t="shared" si="5"/>
        <v>#N/A</v>
      </c>
      <c r="I26" s="104" t="e">
        <f t="shared" si="6"/>
        <v>#N/A</v>
      </c>
      <c r="J26" s="57" t="e">
        <f t="shared" si="7"/>
        <v>#N/A</v>
      </c>
      <c r="K26" s="71"/>
      <c r="L26" s="71"/>
      <c r="M26" s="71"/>
    </row>
    <row r="27" spans="1:13" hidden="1">
      <c r="A27" s="100">
        <v>20</v>
      </c>
      <c r="B27" s="100">
        <v>7</v>
      </c>
      <c r="C27" s="101" t="e">
        <f>Расчет!F27</f>
        <v>#N/A</v>
      </c>
      <c r="D27" s="102" t="str">
        <f>Расчет!B27</f>
        <v>Ханты-Мансийский</v>
      </c>
      <c r="E27" s="103" t="e">
        <f>Расчет!#REF!</f>
        <v>#REF!</v>
      </c>
      <c r="F27" s="57" t="e">
        <f>Расчет!I27</f>
        <v>#N/A</v>
      </c>
      <c r="G27" s="100" t="e">
        <f t="shared" si="4"/>
        <v>#N/A</v>
      </c>
      <c r="H27" s="102" t="e">
        <f t="shared" si="5"/>
        <v>#N/A</v>
      </c>
      <c r="I27" s="104" t="e">
        <f t="shared" si="6"/>
        <v>#N/A</v>
      </c>
      <c r="J27" s="57" t="e">
        <f t="shared" si="7"/>
        <v>#N/A</v>
      </c>
      <c r="K27" s="71"/>
      <c r="L27" s="71"/>
      <c r="M27" s="71"/>
    </row>
    <row r="28" spans="1:13" hidden="1">
      <c r="A28" s="100">
        <v>21</v>
      </c>
      <c r="B28" s="100">
        <v>8</v>
      </c>
      <c r="C28" s="101" t="e">
        <f>Расчет!F28</f>
        <v>#N/A</v>
      </c>
      <c r="D28" s="102" t="str">
        <f>Расчет!B28</f>
        <v>Нижневартовский</v>
      </c>
      <c r="E28" s="103" t="e">
        <f>Расчет!#REF!</f>
        <v>#REF!</v>
      </c>
      <c r="F28" s="57" t="e">
        <f>Расчет!I28</f>
        <v>#N/A</v>
      </c>
      <c r="G28" s="100" t="e">
        <f t="shared" si="4"/>
        <v>#N/A</v>
      </c>
      <c r="H28" s="102" t="e">
        <f t="shared" si="5"/>
        <v>#N/A</v>
      </c>
      <c r="I28" s="104" t="e">
        <f t="shared" si="6"/>
        <v>#N/A</v>
      </c>
      <c r="J28" s="57" t="e">
        <f t="shared" si="7"/>
        <v>#N/A</v>
      </c>
      <c r="K28" s="71"/>
      <c r="L28" s="71"/>
      <c r="M28" s="71"/>
    </row>
    <row r="29" spans="1:13" hidden="1">
      <c r="A29" s="100">
        <v>22</v>
      </c>
      <c r="B29" s="100">
        <v>9</v>
      </c>
      <c r="C29" s="101" t="e">
        <f>Расчет!F29</f>
        <v>#N/A</v>
      </c>
      <c r="D29" s="102" t="str">
        <f>Расчет!B29</f>
        <v>Нефтеюганский</v>
      </c>
      <c r="E29" s="103" t="e">
        <f>Расчет!#REF!</f>
        <v>#REF!</v>
      </c>
      <c r="F29" s="57" t="e">
        <f>Расчет!I29</f>
        <v>#N/A</v>
      </c>
      <c r="G29" s="100" t="e">
        <f t="shared" si="4"/>
        <v>#N/A</v>
      </c>
      <c r="H29" s="102" t="e">
        <f t="shared" si="5"/>
        <v>#N/A</v>
      </c>
      <c r="I29" s="104" t="e">
        <f t="shared" si="6"/>
        <v>#N/A</v>
      </c>
      <c r="J29" s="57" t="e">
        <f t="shared" si="7"/>
        <v>#N/A</v>
      </c>
      <c r="K29" s="71"/>
      <c r="L29" s="71"/>
      <c r="M29" s="71"/>
    </row>
    <row r="30" spans="1:13">
      <c r="A30" s="71"/>
      <c r="B30" s="71"/>
      <c r="C30" s="71"/>
      <c r="D30" s="72"/>
      <c r="E30" s="73"/>
      <c r="F30" s="71"/>
      <c r="G30" s="71"/>
      <c r="H30" s="72"/>
      <c r="I30" s="71"/>
      <c r="J30" s="71"/>
      <c r="K30" s="71"/>
      <c r="L30" s="71"/>
      <c r="M30" s="71"/>
    </row>
    <row r="31" spans="1:13">
      <c r="A31" s="71"/>
      <c r="B31" s="71"/>
      <c r="C31" s="71"/>
      <c r="D31" s="72"/>
      <c r="E31" s="73"/>
      <c r="F31" s="71"/>
      <c r="G31" s="71"/>
      <c r="H31" s="72"/>
      <c r="I31" s="71"/>
      <c r="J31" s="71"/>
      <c r="K31" s="71"/>
      <c r="L31" s="71"/>
      <c r="M31" s="71"/>
    </row>
    <row r="32" spans="1:13">
      <c r="A32" s="71"/>
      <c r="B32" s="71"/>
      <c r="C32" s="71"/>
      <c r="D32" s="72"/>
      <c r="E32" s="73"/>
      <c r="F32" s="71"/>
      <c r="G32" s="71"/>
      <c r="H32" s="72"/>
      <c r="I32" s="71"/>
      <c r="J32" s="71"/>
      <c r="K32" s="71"/>
      <c r="L32" s="71"/>
      <c r="M32" s="71"/>
    </row>
  </sheetData>
  <customSheetViews>
    <customSheetView guid="{8ABC692A-193F-4EA9-A7E8-F3C636A6C39C}" hiddenColumns="1" topLeftCell="A4">
      <selection activeCell="J23" sqref="J23"/>
      <pageMargins left="0.70866141732283472" right="0.70866141732283472" top="0.74803149606299213" bottom="0.74803149606299213" header="0.31496062992125984" footer="0.31496062992125984"/>
      <pageSetup paperSize="9" orientation="landscape" r:id="rId1"/>
    </customSheetView>
    <customSheetView guid="{147A8583-3101-4745-816E-6D404CE92D5B}" showPageBreaks="1" hiddenColumns="1">
      <selection activeCell="A3" sqref="A3"/>
      <pageMargins left="0.70866141732283472" right="0.70866141732283472" top="0.74803149606299213" bottom="0.74803149606299213" header="0.31496062992125984" footer="0.31496062992125984"/>
      <pageSetup paperSize="9" orientation="landscape" r:id="rId2"/>
    </customSheetView>
  </customSheetViews>
  <mergeCells count="7">
    <mergeCell ref="A2:J2"/>
    <mergeCell ref="E4:E5"/>
    <mergeCell ref="D4:D5"/>
    <mergeCell ref="A4:A5"/>
    <mergeCell ref="J4:J5"/>
    <mergeCell ref="G4:I4"/>
    <mergeCell ref="F4:F5"/>
  </mergeCells>
  <pageMargins left="0.70866141732283472" right="0.70866141732283472" top="0.74803149606299213" bottom="0.74803149606299213" header="0.31496062992125984" footer="0.31496062992125984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L3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9" sqref="G9"/>
    </sheetView>
  </sheetViews>
  <sheetFormatPr defaultColWidth="9.140625" defaultRowHeight="15"/>
  <cols>
    <col min="1" max="1" width="6.42578125" style="74" customWidth="1"/>
    <col min="2" max="2" width="25.28515625" style="75" customWidth="1"/>
    <col min="3" max="3" width="19.140625" style="74" customWidth="1"/>
    <col min="4" max="4" width="17.42578125" style="74" customWidth="1"/>
    <col min="5" max="5" width="17" style="74" customWidth="1"/>
    <col min="6" max="6" width="11.7109375" style="74" customWidth="1"/>
    <col min="7" max="7" width="12.7109375" style="74" customWidth="1"/>
    <col min="8" max="8" width="15" style="74" customWidth="1"/>
    <col min="9" max="9" width="22.28515625" style="74" customWidth="1"/>
    <col min="10" max="10" width="16.42578125" style="74" customWidth="1"/>
    <col min="11" max="11" width="8.7109375" style="74" customWidth="1"/>
    <col min="12" max="16384" width="9.140625" style="74"/>
  </cols>
  <sheetData>
    <row r="1" spans="1:12">
      <c r="I1" s="74" t="s">
        <v>114</v>
      </c>
    </row>
    <row r="2" spans="1:12" ht="39.75" customHeight="1">
      <c r="A2" s="234" t="s">
        <v>241</v>
      </c>
      <c r="B2" s="234"/>
      <c r="C2" s="234"/>
      <c r="D2" s="234"/>
      <c r="E2" s="234"/>
      <c r="F2" s="234"/>
      <c r="G2" s="234"/>
      <c r="H2" s="234"/>
      <c r="I2" s="234"/>
    </row>
    <row r="3" spans="1:12" ht="15.75" thickBot="1"/>
    <row r="4" spans="1:12" ht="27" customHeight="1">
      <c r="A4" s="235" t="s">
        <v>0</v>
      </c>
      <c r="B4" s="237" t="s">
        <v>238</v>
      </c>
      <c r="C4" s="239" t="s">
        <v>33</v>
      </c>
      <c r="D4" s="240"/>
      <c r="E4" s="240"/>
      <c r="F4" s="241"/>
      <c r="G4" s="239" t="s">
        <v>34</v>
      </c>
      <c r="H4" s="240"/>
      <c r="I4" s="242"/>
      <c r="J4" s="76"/>
      <c r="K4" s="76"/>
      <c r="L4" s="76"/>
    </row>
    <row r="5" spans="1:12" ht="73.5" customHeight="1" thickBot="1">
      <c r="A5" s="236"/>
      <c r="B5" s="238"/>
      <c r="C5" s="107" t="s">
        <v>79</v>
      </c>
      <c r="D5" s="107" t="s">
        <v>32</v>
      </c>
      <c r="E5" s="107" t="s">
        <v>65</v>
      </c>
      <c r="F5" s="107" t="s">
        <v>144</v>
      </c>
      <c r="G5" s="203" t="s">
        <v>237</v>
      </c>
      <c r="H5" s="107" t="s">
        <v>39</v>
      </c>
      <c r="I5" s="203" t="s">
        <v>239</v>
      </c>
      <c r="J5" s="152"/>
      <c r="K5" s="152"/>
      <c r="L5" s="77"/>
    </row>
    <row r="6" spans="1:12" ht="43.5" thickBot="1">
      <c r="A6" s="113"/>
      <c r="B6" s="114" t="s">
        <v>217</v>
      </c>
      <c r="C6" s="115"/>
      <c r="D6" s="115">
        <f>AVERAGE(D7:D12)</f>
        <v>49.559090462459189</v>
      </c>
      <c r="E6" s="115"/>
      <c r="F6" s="115"/>
      <c r="G6" s="115"/>
      <c r="H6" s="116"/>
      <c r="I6" s="155">
        <v>1000</v>
      </c>
      <c r="J6" s="153"/>
      <c r="K6" s="154"/>
      <c r="L6" s="77"/>
    </row>
    <row r="7" spans="1:12">
      <c r="A7" s="108">
        <v>1</v>
      </c>
      <c r="B7" s="109" t="s">
        <v>145</v>
      </c>
      <c r="C7" s="225">
        <v>0</v>
      </c>
      <c r="D7" s="111">
        <f>HLOOKUP(B7,Оценки!$A$4:$N$6,2,0)</f>
        <v>49.045206529135996</v>
      </c>
      <c r="E7" s="110">
        <f>HLOOKUP(B7,'Нарушения БК'!$F$1:$K$7,ROW('Нарушения БК'!$A$7),0)</f>
        <v>0</v>
      </c>
      <c r="F7" s="110">
        <f>RANK(D7,$D$7:$D$12,0)</f>
        <v>5</v>
      </c>
      <c r="G7" s="110">
        <f>1*(D7&gt;$D$6)*IF(E7=0,1)</f>
        <v>0</v>
      </c>
      <c r="H7" s="112">
        <f>1*(D7-$D$6)*G7</f>
        <v>0</v>
      </c>
      <c r="I7" s="156">
        <f>$I$6*H7/SUM($H$7:$H$12)</f>
        <v>0</v>
      </c>
      <c r="J7" s="154"/>
      <c r="K7" s="154"/>
      <c r="L7" s="77"/>
    </row>
    <row r="8" spans="1:12">
      <c r="A8" s="78">
        <v>2</v>
      </c>
      <c r="B8" s="79" t="s">
        <v>146</v>
      </c>
      <c r="C8" s="226">
        <v>1</v>
      </c>
      <c r="D8" s="84">
        <f>HLOOKUP(B8,Оценки!$A$4:$N$6,2,0)</f>
        <v>54.987276027452694</v>
      </c>
      <c r="E8" s="110">
        <f>HLOOKUP(B8,'Нарушения БК'!$F$1:$K$7,ROW('Нарушения БК'!$A$7),0)</f>
        <v>0</v>
      </c>
      <c r="F8" s="110">
        <f t="shared" ref="F8:F12" si="0">RANK(D8,$D$7:$D$12,0)</f>
        <v>1</v>
      </c>
      <c r="G8" s="110">
        <f t="shared" ref="G8:G19" si="1">1*(D8&gt;$D$6)*IF(E8=0,1)</f>
        <v>1</v>
      </c>
      <c r="H8" s="112">
        <f t="shared" ref="H8:H12" si="2">1*(D8-$D$6)*G8</f>
        <v>5.4281855649935054</v>
      </c>
      <c r="I8" s="156">
        <f t="shared" ref="I8:I12" si="3">$I$6*H8/SUM($H$7:$H$12)</f>
        <v>617.08137730453154</v>
      </c>
      <c r="J8" s="154"/>
      <c r="K8" s="154"/>
      <c r="L8" s="77"/>
    </row>
    <row r="9" spans="1:12">
      <c r="A9" s="78">
        <v>3</v>
      </c>
      <c r="B9" s="79" t="s">
        <v>147</v>
      </c>
      <c r="C9" s="226">
        <v>1</v>
      </c>
      <c r="D9" s="84">
        <f>HLOOKUP(B9,Оценки!$A$4:$N$6,2,0)</f>
        <v>49.533828994726797</v>
      </c>
      <c r="E9" s="110">
        <f>HLOOKUP(B9,'Нарушения БК'!$F$1:$K$7,ROW('Нарушения БК'!$A$7),0)</f>
        <v>0</v>
      </c>
      <c r="F9" s="110">
        <f t="shared" si="0"/>
        <v>4</v>
      </c>
      <c r="G9" s="110">
        <f t="shared" si="1"/>
        <v>0</v>
      </c>
      <c r="H9" s="112">
        <f t="shared" si="2"/>
        <v>0</v>
      </c>
      <c r="I9" s="156">
        <f t="shared" si="3"/>
        <v>0</v>
      </c>
      <c r="J9" s="154"/>
      <c r="K9" s="154"/>
      <c r="L9" s="77"/>
    </row>
    <row r="10" spans="1:12">
      <c r="A10" s="78">
        <v>4</v>
      </c>
      <c r="B10" s="79" t="s">
        <v>148</v>
      </c>
      <c r="C10" s="226">
        <v>0</v>
      </c>
      <c r="D10" s="84">
        <f>HLOOKUP(B10,Оценки!$A$4:$N$6,2,0)</f>
        <v>50.932152932748046</v>
      </c>
      <c r="E10" s="110">
        <f>HLOOKUP(B10,'Нарушения БК'!$F$1:$K$7,ROW('Нарушения БК'!$A$7),0)</f>
        <v>0</v>
      </c>
      <c r="F10" s="110">
        <f t="shared" si="0"/>
        <v>3</v>
      </c>
      <c r="G10" s="110">
        <f t="shared" si="1"/>
        <v>1</v>
      </c>
      <c r="H10" s="112">
        <f t="shared" si="2"/>
        <v>1.3730624702888576</v>
      </c>
      <c r="I10" s="156">
        <f t="shared" si="3"/>
        <v>156.09106765900043</v>
      </c>
      <c r="J10" s="154"/>
      <c r="K10" s="154"/>
      <c r="L10" s="77"/>
    </row>
    <row r="11" spans="1:12">
      <c r="A11" s="78">
        <v>5</v>
      </c>
      <c r="B11" s="79" t="s">
        <v>149</v>
      </c>
      <c r="C11" s="226">
        <v>0</v>
      </c>
      <c r="D11" s="84">
        <f>HLOOKUP(B11,Оценки!$A$4:$N$6,2,0)</f>
        <v>51.554389794566717</v>
      </c>
      <c r="E11" s="110">
        <f>HLOOKUP(B11,'Нарушения БК'!$F$1:$K$7,ROW('Нарушения БК'!$A$7),0)</f>
        <v>0</v>
      </c>
      <c r="F11" s="110">
        <f t="shared" si="0"/>
        <v>2</v>
      </c>
      <c r="G11" s="110">
        <f t="shared" si="1"/>
        <v>1</v>
      </c>
      <c r="H11" s="112">
        <f t="shared" si="2"/>
        <v>1.9952993321075283</v>
      </c>
      <c r="I11" s="156">
        <f t="shared" si="3"/>
        <v>226.827555036468</v>
      </c>
      <c r="J11" s="154"/>
      <c r="K11" s="154"/>
      <c r="L11" s="77"/>
    </row>
    <row r="12" spans="1:12">
      <c r="A12" s="78">
        <v>6</v>
      </c>
      <c r="B12" s="79" t="s">
        <v>150</v>
      </c>
      <c r="C12" s="226">
        <v>0</v>
      </c>
      <c r="D12" s="84">
        <f>HLOOKUP(B12,Оценки!$A$4:$N$6,2,0)</f>
        <v>41.301688496124882</v>
      </c>
      <c r="E12" s="110">
        <f>HLOOKUP(B12,'Нарушения БК'!$F$1:$K$7,ROW('Нарушения БК'!$A$7),0)</f>
        <v>0</v>
      </c>
      <c r="F12" s="110">
        <f t="shared" si="0"/>
        <v>6</v>
      </c>
      <c r="G12" s="110">
        <f t="shared" si="1"/>
        <v>0</v>
      </c>
      <c r="H12" s="112">
        <f t="shared" si="2"/>
        <v>0</v>
      </c>
      <c r="I12" s="156">
        <f t="shared" si="3"/>
        <v>0</v>
      </c>
      <c r="J12" s="154"/>
      <c r="K12" s="154"/>
      <c r="L12" s="77"/>
    </row>
    <row r="13" spans="1:12" hidden="1">
      <c r="A13" s="78">
        <v>7</v>
      </c>
      <c r="B13" s="79" t="s">
        <v>2</v>
      </c>
      <c r="C13" s="83">
        <v>0</v>
      </c>
      <c r="D13" s="84" t="e">
        <f>HLOOKUP(B13,Оценки!$A$4:$N$6,2,0)</f>
        <v>#N/A</v>
      </c>
      <c r="E13" s="110" t="e">
        <f>HLOOKUP(B13,'Нарушения БК'!$F$1:$K$7,ROW('Нарушения БК'!$A$7),0)</f>
        <v>#N/A</v>
      </c>
      <c r="F13" s="110" t="e">
        <f t="shared" ref="F13:F19" si="4">RANK(D13,$D$7:$D$19,0)</f>
        <v>#N/A</v>
      </c>
      <c r="G13" s="110" t="e">
        <f t="shared" si="1"/>
        <v>#N/A</v>
      </c>
      <c r="H13" s="112" t="e">
        <f t="shared" ref="H13:H19" si="5">1*(D13-$D$6)*G13</f>
        <v>#N/A</v>
      </c>
      <c r="I13" s="157" t="e">
        <f t="shared" ref="I13:I19" si="6">$I$6*H13/SUM($H$7:$H$19)</f>
        <v>#N/A</v>
      </c>
      <c r="J13" s="154"/>
      <c r="K13" s="154"/>
      <c r="L13" s="77"/>
    </row>
    <row r="14" spans="1:12" hidden="1">
      <c r="A14" s="78">
        <v>8</v>
      </c>
      <c r="B14" s="79" t="s">
        <v>1</v>
      </c>
      <c r="C14" s="83">
        <v>0</v>
      </c>
      <c r="D14" s="84" t="e">
        <f>HLOOKUP(B14,Оценки!$A$4:$N$6,2,0)</f>
        <v>#N/A</v>
      </c>
      <c r="E14" s="110" t="e">
        <f>HLOOKUP(B14,'Нарушения БК'!$F$1:$K$7,ROW('Нарушения БК'!$A$7),0)</f>
        <v>#N/A</v>
      </c>
      <c r="F14" s="110" t="e">
        <f t="shared" si="4"/>
        <v>#N/A</v>
      </c>
      <c r="G14" s="110" t="e">
        <f t="shared" si="1"/>
        <v>#N/A</v>
      </c>
      <c r="H14" s="112" t="e">
        <f t="shared" si="5"/>
        <v>#N/A</v>
      </c>
      <c r="I14" s="157" t="e">
        <f t="shared" si="6"/>
        <v>#N/A</v>
      </c>
      <c r="J14" s="154"/>
      <c r="K14" s="154"/>
      <c r="L14" s="77"/>
    </row>
    <row r="15" spans="1:12" hidden="1">
      <c r="A15" s="78">
        <v>9</v>
      </c>
      <c r="B15" s="79" t="s">
        <v>3</v>
      </c>
      <c r="C15" s="83">
        <v>0</v>
      </c>
      <c r="D15" s="84" t="e">
        <f>HLOOKUP(B15,Оценки!$A$4:$N$6,2,0)</f>
        <v>#N/A</v>
      </c>
      <c r="E15" s="110" t="e">
        <f>HLOOKUP(B15,'Нарушения БК'!$F$1:$K$7,ROW('Нарушения БК'!$A$7),0)</f>
        <v>#N/A</v>
      </c>
      <c r="F15" s="110" t="e">
        <f t="shared" si="4"/>
        <v>#N/A</v>
      </c>
      <c r="G15" s="110" t="e">
        <f t="shared" si="1"/>
        <v>#N/A</v>
      </c>
      <c r="H15" s="112" t="e">
        <f t="shared" si="5"/>
        <v>#N/A</v>
      </c>
      <c r="I15" s="157" t="e">
        <f t="shared" si="6"/>
        <v>#N/A</v>
      </c>
      <c r="J15" s="154"/>
      <c r="K15" s="154"/>
      <c r="L15" s="77"/>
    </row>
    <row r="16" spans="1:12" hidden="1">
      <c r="A16" s="78">
        <v>10</v>
      </c>
      <c r="B16" s="79" t="s">
        <v>4</v>
      </c>
      <c r="C16" s="83">
        <v>0</v>
      </c>
      <c r="D16" s="84" t="e">
        <f>HLOOKUP(B16,Оценки!$A$4:$N$6,2,0)</f>
        <v>#N/A</v>
      </c>
      <c r="E16" s="110" t="e">
        <f>HLOOKUP(B16,'Нарушения БК'!$F$1:$K$7,ROW('Нарушения БК'!$A$7),0)</f>
        <v>#N/A</v>
      </c>
      <c r="F16" s="110" t="e">
        <f t="shared" si="4"/>
        <v>#N/A</v>
      </c>
      <c r="G16" s="110" t="e">
        <f t="shared" si="1"/>
        <v>#N/A</v>
      </c>
      <c r="H16" s="112" t="e">
        <f t="shared" si="5"/>
        <v>#N/A</v>
      </c>
      <c r="I16" s="157" t="e">
        <f t="shared" si="6"/>
        <v>#N/A</v>
      </c>
      <c r="J16" s="154"/>
      <c r="K16" s="154"/>
      <c r="L16" s="77"/>
    </row>
    <row r="17" spans="1:12" hidden="1">
      <c r="A17" s="78">
        <v>11</v>
      </c>
      <c r="B17" s="79" t="s">
        <v>5</v>
      </c>
      <c r="C17" s="83">
        <v>0</v>
      </c>
      <c r="D17" s="84" t="e">
        <f>HLOOKUP(B17,Оценки!$A$4:$N$6,2,0)</f>
        <v>#N/A</v>
      </c>
      <c r="E17" s="110" t="e">
        <f>HLOOKUP(B17,'Нарушения БК'!$F$1:$K$7,ROW('Нарушения БК'!$A$7),0)</f>
        <v>#N/A</v>
      </c>
      <c r="F17" s="110" t="e">
        <f t="shared" si="4"/>
        <v>#N/A</v>
      </c>
      <c r="G17" s="110" t="e">
        <f t="shared" si="1"/>
        <v>#N/A</v>
      </c>
      <c r="H17" s="112" t="e">
        <f t="shared" si="5"/>
        <v>#N/A</v>
      </c>
      <c r="I17" s="157" t="e">
        <f t="shared" si="6"/>
        <v>#N/A</v>
      </c>
      <c r="J17" s="154"/>
      <c r="K17" s="154"/>
      <c r="L17" s="77"/>
    </row>
    <row r="18" spans="1:12" hidden="1">
      <c r="A18" s="78">
        <v>12</v>
      </c>
      <c r="B18" s="79" t="s">
        <v>6</v>
      </c>
      <c r="C18" s="83">
        <v>0</v>
      </c>
      <c r="D18" s="84" t="e">
        <f>HLOOKUP(B18,Оценки!$A$4:$N$6,2,0)</f>
        <v>#N/A</v>
      </c>
      <c r="E18" s="110" t="e">
        <f>HLOOKUP(B18,'Нарушения БК'!$F$1:$K$7,ROW('Нарушения БК'!$A$7),0)</f>
        <v>#N/A</v>
      </c>
      <c r="F18" s="110" t="e">
        <f t="shared" si="4"/>
        <v>#N/A</v>
      </c>
      <c r="G18" s="110" t="e">
        <f t="shared" si="1"/>
        <v>#N/A</v>
      </c>
      <c r="H18" s="112" t="e">
        <f t="shared" si="5"/>
        <v>#N/A</v>
      </c>
      <c r="I18" s="157" t="e">
        <f t="shared" si="6"/>
        <v>#N/A</v>
      </c>
      <c r="J18" s="154"/>
      <c r="K18" s="154"/>
      <c r="L18" s="77"/>
    </row>
    <row r="19" spans="1:12" ht="15.75" hidden="1" thickBot="1">
      <c r="A19" s="85">
        <v>13</v>
      </c>
      <c r="B19" s="86" t="s">
        <v>7</v>
      </c>
      <c r="C19" s="87">
        <v>0</v>
      </c>
      <c r="D19" s="171" t="e">
        <f>HLOOKUP(B19,Оценки!$A$4:$N$6,2,0)</f>
        <v>#N/A</v>
      </c>
      <c r="E19" s="110" t="e">
        <f>HLOOKUP(B19,'Нарушения БК'!$F$1:$K$7,ROW('Нарушения БК'!$A$7),0)</f>
        <v>#N/A</v>
      </c>
      <c r="F19" s="110" t="e">
        <f t="shared" si="4"/>
        <v>#N/A</v>
      </c>
      <c r="G19" s="110" t="e">
        <f t="shared" si="1"/>
        <v>#N/A</v>
      </c>
      <c r="H19" s="112" t="e">
        <f t="shared" si="5"/>
        <v>#N/A</v>
      </c>
      <c r="I19" s="172" t="e">
        <f t="shared" si="6"/>
        <v>#N/A</v>
      </c>
      <c r="J19" s="154"/>
      <c r="K19" s="154"/>
      <c r="L19" s="77"/>
    </row>
    <row r="20" spans="1:12" ht="57.75" hidden="1" thickBot="1">
      <c r="A20" s="105"/>
      <c r="B20" s="106" t="s">
        <v>99</v>
      </c>
      <c r="C20" s="170"/>
      <c r="D20" s="173" t="e">
        <f>AVERAGE(D21:D29)</f>
        <v>#N/A</v>
      </c>
      <c r="E20" s="174"/>
      <c r="F20" s="174"/>
      <c r="G20" s="174"/>
      <c r="H20" s="175"/>
      <c r="I20" s="176">
        <v>25000</v>
      </c>
      <c r="J20" s="153"/>
      <c r="K20" s="154"/>
      <c r="L20" s="77"/>
    </row>
    <row r="21" spans="1:12" hidden="1">
      <c r="A21" s="80">
        <v>14</v>
      </c>
      <c r="B21" s="81" t="s">
        <v>8</v>
      </c>
      <c r="C21" s="82">
        <v>0</v>
      </c>
      <c r="D21" s="111" t="e">
        <f>HLOOKUP(B21,Оценки!$A$4:$N$6,2,0)</f>
        <v>#N/A</v>
      </c>
      <c r="E21" s="110" t="e">
        <f>HLOOKUP(B21,'Нарушения БК'!$F$1:$K$7,ROW('Нарушения БК'!$A$7),0)</f>
        <v>#N/A</v>
      </c>
      <c r="F21" s="110" t="e">
        <f>RANK(D21,$D$21:$D$29,0)</f>
        <v>#N/A</v>
      </c>
      <c r="G21" s="110" t="e">
        <f>1*(D21&gt;$D$20)*IF(E21=0,1)</f>
        <v>#N/A</v>
      </c>
      <c r="H21" s="112" t="e">
        <f>1*(D21-$D$20)*G21</f>
        <v>#N/A</v>
      </c>
      <c r="I21" s="156" t="e">
        <f t="shared" ref="I21:I29" si="7">$I$20*H21/SUM($H$21:$H$29)</f>
        <v>#N/A</v>
      </c>
      <c r="J21" s="154"/>
      <c r="K21" s="154"/>
      <c r="L21" s="77"/>
    </row>
    <row r="22" spans="1:12" hidden="1">
      <c r="A22" s="78">
        <v>15</v>
      </c>
      <c r="B22" s="79" t="s">
        <v>9</v>
      </c>
      <c r="C22" s="83">
        <v>1</v>
      </c>
      <c r="D22" s="84" t="e">
        <f>HLOOKUP(B22,Оценки!$A$4:$N$6,2,0)</f>
        <v>#N/A</v>
      </c>
      <c r="E22" s="110" t="e">
        <f>HLOOKUP(B22,'Нарушения БК'!$F$1:$K$7,ROW('Нарушения БК'!$A$7),0)</f>
        <v>#N/A</v>
      </c>
      <c r="F22" s="110" t="e">
        <f t="shared" ref="F22:F29" si="8">RANK(D22,$D$21:$D$29,0)</f>
        <v>#N/A</v>
      </c>
      <c r="G22" s="110" t="e">
        <f t="shared" ref="G22:G29" si="9">1*(D22&gt;$D$20)*IF(E22=0,1)</f>
        <v>#N/A</v>
      </c>
      <c r="H22" s="112" t="e">
        <f t="shared" ref="H22:H29" si="10">1*(D22-$D$20)*G22</f>
        <v>#N/A</v>
      </c>
      <c r="I22" s="157" t="e">
        <f t="shared" si="7"/>
        <v>#N/A</v>
      </c>
      <c r="J22" s="154"/>
      <c r="K22" s="154"/>
      <c r="L22" s="77"/>
    </row>
    <row r="23" spans="1:12" hidden="1">
      <c r="A23" s="78">
        <v>16</v>
      </c>
      <c r="B23" s="79" t="s">
        <v>10</v>
      </c>
      <c r="C23" s="83">
        <v>1</v>
      </c>
      <c r="D23" s="84" t="e">
        <f>HLOOKUP(B23,Оценки!$A$4:$N$6,2,0)</f>
        <v>#N/A</v>
      </c>
      <c r="E23" s="110" t="e">
        <f>HLOOKUP(B23,'Нарушения БК'!$F$1:$K$7,ROW('Нарушения БК'!$A$7),0)</f>
        <v>#N/A</v>
      </c>
      <c r="F23" s="110" t="e">
        <f t="shared" si="8"/>
        <v>#N/A</v>
      </c>
      <c r="G23" s="110" t="e">
        <f t="shared" si="9"/>
        <v>#N/A</v>
      </c>
      <c r="H23" s="112" t="e">
        <f t="shared" si="10"/>
        <v>#N/A</v>
      </c>
      <c r="I23" s="157" t="e">
        <f t="shared" si="7"/>
        <v>#N/A</v>
      </c>
      <c r="J23" s="154"/>
      <c r="K23" s="154"/>
      <c r="L23" s="77"/>
    </row>
    <row r="24" spans="1:12" hidden="1">
      <c r="A24" s="78">
        <v>17</v>
      </c>
      <c r="B24" s="79" t="s">
        <v>11</v>
      </c>
      <c r="C24" s="83">
        <v>0</v>
      </c>
      <c r="D24" s="84" t="e">
        <f>HLOOKUP(B24,Оценки!$A$4:$N$6,2,0)</f>
        <v>#N/A</v>
      </c>
      <c r="E24" s="110" t="e">
        <f>HLOOKUP(B24,'Нарушения БК'!$F$1:$K$7,ROW('Нарушения БК'!$A$7),0)</f>
        <v>#N/A</v>
      </c>
      <c r="F24" s="110" t="e">
        <f t="shared" si="8"/>
        <v>#N/A</v>
      </c>
      <c r="G24" s="110" t="e">
        <f t="shared" si="9"/>
        <v>#N/A</v>
      </c>
      <c r="H24" s="112" t="e">
        <f t="shared" si="10"/>
        <v>#N/A</v>
      </c>
      <c r="I24" s="157" t="e">
        <f t="shared" si="7"/>
        <v>#N/A</v>
      </c>
      <c r="J24" s="154"/>
      <c r="K24" s="154"/>
      <c r="L24" s="77"/>
    </row>
    <row r="25" spans="1:12" hidden="1">
      <c r="A25" s="78">
        <v>18</v>
      </c>
      <c r="B25" s="79" t="s">
        <v>12</v>
      </c>
      <c r="C25" s="83">
        <v>0</v>
      </c>
      <c r="D25" s="84" t="e">
        <f>HLOOKUP(B25,Оценки!$A$4:$N$6,2,0)</f>
        <v>#N/A</v>
      </c>
      <c r="E25" s="110" t="e">
        <f>HLOOKUP(B25,'Нарушения БК'!$F$1:$K$7,ROW('Нарушения БК'!$A$7),0)</f>
        <v>#N/A</v>
      </c>
      <c r="F25" s="110" t="e">
        <f t="shared" si="8"/>
        <v>#N/A</v>
      </c>
      <c r="G25" s="110" t="e">
        <f t="shared" si="9"/>
        <v>#N/A</v>
      </c>
      <c r="H25" s="112" t="e">
        <f t="shared" si="10"/>
        <v>#N/A</v>
      </c>
      <c r="I25" s="157" t="e">
        <f t="shared" si="7"/>
        <v>#N/A</v>
      </c>
      <c r="J25" s="154"/>
      <c r="K25" s="154"/>
      <c r="L25" s="77"/>
    </row>
    <row r="26" spans="1:12" hidden="1">
      <c r="A26" s="78">
        <v>19</v>
      </c>
      <c r="B26" s="79" t="s">
        <v>13</v>
      </c>
      <c r="C26" s="83">
        <v>1</v>
      </c>
      <c r="D26" s="84" t="e">
        <f>HLOOKUP(B26,Оценки!$A$4:$N$6,2,0)</f>
        <v>#N/A</v>
      </c>
      <c r="E26" s="110" t="e">
        <f>HLOOKUP(B26,'Нарушения БК'!$F$1:$K$7,ROW('Нарушения БК'!$A$7),0)</f>
        <v>#N/A</v>
      </c>
      <c r="F26" s="110" t="e">
        <f t="shared" si="8"/>
        <v>#N/A</v>
      </c>
      <c r="G26" s="110" t="e">
        <f t="shared" si="9"/>
        <v>#N/A</v>
      </c>
      <c r="H26" s="112" t="e">
        <f t="shared" si="10"/>
        <v>#N/A</v>
      </c>
      <c r="I26" s="157" t="e">
        <f t="shared" si="7"/>
        <v>#N/A</v>
      </c>
      <c r="J26" s="154"/>
      <c r="K26" s="154"/>
      <c r="L26" s="77"/>
    </row>
    <row r="27" spans="1:12" hidden="1">
      <c r="A27" s="78">
        <v>20</v>
      </c>
      <c r="B27" s="79" t="s">
        <v>14</v>
      </c>
      <c r="C27" s="83">
        <v>0</v>
      </c>
      <c r="D27" s="84" t="e">
        <f>HLOOKUP(B27,Оценки!$A$4:$N$6,2,0)</f>
        <v>#N/A</v>
      </c>
      <c r="E27" s="110" t="e">
        <f>HLOOKUP(B27,'Нарушения БК'!$F$1:$K$7,ROW('Нарушения БК'!$A$7),0)</f>
        <v>#N/A</v>
      </c>
      <c r="F27" s="110" t="e">
        <f t="shared" si="8"/>
        <v>#N/A</v>
      </c>
      <c r="G27" s="110" t="e">
        <f t="shared" si="9"/>
        <v>#N/A</v>
      </c>
      <c r="H27" s="112" t="e">
        <f t="shared" si="10"/>
        <v>#N/A</v>
      </c>
      <c r="I27" s="157" t="e">
        <f t="shared" si="7"/>
        <v>#N/A</v>
      </c>
      <c r="J27" s="154"/>
      <c r="K27" s="154"/>
      <c r="L27" s="77"/>
    </row>
    <row r="28" spans="1:12" hidden="1">
      <c r="A28" s="78">
        <v>21</v>
      </c>
      <c r="B28" s="79" t="s">
        <v>15</v>
      </c>
      <c r="C28" s="83">
        <v>0</v>
      </c>
      <c r="D28" s="84" t="e">
        <f>HLOOKUP(B28,Оценки!$A$4:$N$6,2,0)</f>
        <v>#N/A</v>
      </c>
      <c r="E28" s="110" t="e">
        <f>HLOOKUP(B28,'Нарушения БК'!$F$1:$K$7,ROW('Нарушения БК'!$A$7),0)</f>
        <v>#N/A</v>
      </c>
      <c r="F28" s="110" t="e">
        <f t="shared" si="8"/>
        <v>#N/A</v>
      </c>
      <c r="G28" s="110" t="e">
        <f t="shared" si="9"/>
        <v>#N/A</v>
      </c>
      <c r="H28" s="112" t="e">
        <f t="shared" si="10"/>
        <v>#N/A</v>
      </c>
      <c r="I28" s="157" t="e">
        <f t="shared" si="7"/>
        <v>#N/A</v>
      </c>
      <c r="J28" s="154"/>
      <c r="K28" s="154"/>
      <c r="L28" s="77"/>
    </row>
    <row r="29" spans="1:12" hidden="1">
      <c r="A29" s="78">
        <v>22</v>
      </c>
      <c r="B29" s="79" t="s">
        <v>16</v>
      </c>
      <c r="C29" s="83">
        <v>0</v>
      </c>
      <c r="D29" s="84" t="e">
        <f>HLOOKUP(B29,Оценки!$A$4:$N$6,2,0)</f>
        <v>#N/A</v>
      </c>
      <c r="E29" s="110" t="e">
        <f>HLOOKUP(B29,'Нарушения БК'!$F$1:$K$7,ROW('Нарушения БК'!$A$7),0)</f>
        <v>#N/A</v>
      </c>
      <c r="F29" s="110" t="e">
        <f t="shared" si="8"/>
        <v>#N/A</v>
      </c>
      <c r="G29" s="110" t="e">
        <f t="shared" si="9"/>
        <v>#N/A</v>
      </c>
      <c r="H29" s="112" t="e">
        <f t="shared" si="10"/>
        <v>#N/A</v>
      </c>
      <c r="I29" s="157" t="e">
        <f t="shared" si="7"/>
        <v>#N/A</v>
      </c>
      <c r="J29" s="154"/>
      <c r="K29" s="154"/>
      <c r="L29" s="77"/>
    </row>
    <row r="30" spans="1:12" ht="15.75" thickBot="1">
      <c r="A30" s="85"/>
      <c r="B30" s="88" t="s">
        <v>35</v>
      </c>
      <c r="C30" s="89"/>
      <c r="D30" s="89"/>
      <c r="E30" s="89"/>
      <c r="F30" s="89"/>
      <c r="G30" s="89"/>
      <c r="H30" s="90"/>
      <c r="I30" s="158">
        <f>SUM(I7:I12)</f>
        <v>999.99999999999989</v>
      </c>
      <c r="J30" s="153"/>
      <c r="K30" s="154"/>
      <c r="L30" s="77"/>
    </row>
    <row r="31" spans="1:12">
      <c r="A31" s="91"/>
      <c r="B31" s="92"/>
      <c r="C31" s="93"/>
      <c r="D31" s="93"/>
      <c r="E31" s="93"/>
      <c r="F31" s="93"/>
      <c r="G31" s="93"/>
      <c r="H31" s="91"/>
      <c r="I31" s="91"/>
      <c r="J31" s="91"/>
      <c r="K31" s="77"/>
      <c r="L31" s="77"/>
    </row>
    <row r="32" spans="1:12">
      <c r="A32" s="94"/>
      <c r="B32" s="95"/>
      <c r="C32" s="96"/>
      <c r="D32" s="96"/>
      <c r="E32" s="96"/>
      <c r="F32" s="96"/>
      <c r="G32" s="96"/>
      <c r="H32" s="94"/>
      <c r="I32" s="94"/>
      <c r="J32" s="94"/>
    </row>
  </sheetData>
  <customSheetViews>
    <customSheetView guid="{8ABC692A-193F-4EA9-A7E8-F3C636A6C39C}" fitToPage="1">
      <pane xSplit="2" ySplit="5" topLeftCell="C18" activePane="bottomRight" state="frozen"/>
      <selection pane="bottomRight" activeCell="J20" sqref="J20"/>
      <pageMargins left="0.19685039370078741" right="0.19685039370078741" top="0.39370078740157483" bottom="0.74803149606299213" header="0.15748031496062992" footer="0.31496062992125984"/>
      <pageSetup paperSize="9" scale="85" orientation="landscape" r:id="rId1"/>
    </customSheetView>
    <customSheetView guid="{147A8583-3101-4745-816E-6D404CE92D5B}" fitToPage="1">
      <pane xSplit="2" ySplit="5" topLeftCell="C20" activePane="bottomRight" state="frozen"/>
      <selection pane="bottomRight" activeCell="J25" sqref="J25"/>
      <pageMargins left="0.19685039370078741" right="0.19685039370078741" top="0.39370078740157483" bottom="0.74803149606299213" header="0.15748031496062992" footer="0.31496062992125984"/>
      <pageSetup paperSize="9" scale="85" orientation="landscape" r:id="rId2"/>
    </customSheetView>
  </customSheetViews>
  <mergeCells count="5">
    <mergeCell ref="A2:I2"/>
    <mergeCell ref="A4:A5"/>
    <mergeCell ref="B4:B5"/>
    <mergeCell ref="C4:F4"/>
    <mergeCell ref="G4:I4"/>
  </mergeCells>
  <pageMargins left="0.19685039370078741" right="0.19685039370078741" top="0.78740157480314965" bottom="0.74803149606299213" header="0.15748031496062992" footer="0.31496062992125984"/>
  <pageSetup paperSize="9" scale="97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1"/>
  <dimension ref="A1:K7"/>
  <sheetViews>
    <sheetView topLeftCell="A4" zoomScale="75" zoomScaleNormal="75" workbookViewId="0">
      <selection activeCell="B6" sqref="B6"/>
    </sheetView>
  </sheetViews>
  <sheetFormatPr defaultRowHeight="15"/>
  <cols>
    <col min="1" max="1" width="5.85546875" style="2" customWidth="1"/>
    <col min="2" max="2" width="32" customWidth="1"/>
    <col min="3" max="3" width="43.85546875" bestFit="1" customWidth="1"/>
    <col min="4" max="5" width="11.42578125" bestFit="1" customWidth="1"/>
    <col min="6" max="6" width="15.42578125" bestFit="1" customWidth="1"/>
    <col min="7" max="7" width="10.140625" customWidth="1"/>
    <col min="8" max="8" width="14.5703125" customWidth="1"/>
    <col min="9" max="9" width="16.5703125" customWidth="1"/>
    <col min="10" max="10" width="17.140625" customWidth="1"/>
    <col min="11" max="11" width="15.28515625" customWidth="1"/>
  </cols>
  <sheetData>
    <row r="1" spans="1:11" ht="47.25">
      <c r="A1" s="3" t="s">
        <v>0</v>
      </c>
      <c r="B1" s="3" t="s">
        <v>17</v>
      </c>
      <c r="C1" s="3" t="s">
        <v>18</v>
      </c>
      <c r="D1" s="3" t="s">
        <v>19</v>
      </c>
      <c r="E1" s="3" t="s">
        <v>20</v>
      </c>
      <c r="F1" s="61" t="s">
        <v>145</v>
      </c>
      <c r="G1" s="61" t="s">
        <v>146</v>
      </c>
      <c r="H1" s="61" t="s">
        <v>147</v>
      </c>
      <c r="I1" s="61" t="s">
        <v>148</v>
      </c>
      <c r="J1" s="61" t="s">
        <v>149</v>
      </c>
      <c r="K1" s="61" t="s">
        <v>150</v>
      </c>
    </row>
    <row r="2" spans="1:11" ht="126">
      <c r="A2" s="14" t="s">
        <v>69</v>
      </c>
      <c r="B2" s="5" t="s">
        <v>213</v>
      </c>
      <c r="C2" s="6" t="s">
        <v>113</v>
      </c>
      <c r="D2" s="4">
        <v>0</v>
      </c>
      <c r="E2" s="4">
        <v>1</v>
      </c>
      <c r="F2" s="8">
        <f>1*IF(Данные!F85=0,1)</f>
        <v>0</v>
      </c>
      <c r="G2" s="8">
        <f>1*IF(Данные!G85=0,1)</f>
        <v>0</v>
      </c>
      <c r="H2" s="8">
        <f>1*IF(Данные!H85=0,1)</f>
        <v>0</v>
      </c>
      <c r="I2" s="8">
        <f>1*IF(Данные!I85=0,1)</f>
        <v>0</v>
      </c>
      <c r="J2" s="8">
        <f>1*IF(Данные!J85=0,1)</f>
        <v>0</v>
      </c>
      <c r="K2" s="8">
        <f>1*IF(Данные!K85=0,1)</f>
        <v>0</v>
      </c>
    </row>
    <row r="3" spans="1:11" ht="189">
      <c r="A3" s="14" t="s">
        <v>70</v>
      </c>
      <c r="B3" s="5" t="s">
        <v>209</v>
      </c>
      <c r="C3" s="6" t="s">
        <v>82</v>
      </c>
      <c r="D3" s="58">
        <v>0</v>
      </c>
      <c r="E3" s="58">
        <v>1</v>
      </c>
      <c r="F3" s="8">
        <f>1*(Данные!F86&gt;$E$3)</f>
        <v>0</v>
      </c>
      <c r="G3" s="8">
        <f>1*(Данные!G86&gt;$E$3)</f>
        <v>0</v>
      </c>
      <c r="H3" s="8">
        <f>1*(Данные!H86&gt;$E$3)</f>
        <v>0</v>
      </c>
      <c r="I3" s="8">
        <f>1*(Данные!I86&gt;$E$3)</f>
        <v>0</v>
      </c>
      <c r="J3" s="8">
        <f>1*(Данные!J86&gt;$E$3)</f>
        <v>0</v>
      </c>
      <c r="K3" s="8">
        <f>1*(Данные!K86&gt;$E$3)</f>
        <v>0</v>
      </c>
    </row>
    <row r="4" spans="1:11" ht="204.75">
      <c r="A4" s="14" t="s">
        <v>71</v>
      </c>
      <c r="B4" s="5" t="s">
        <v>214</v>
      </c>
      <c r="C4" s="6" t="s">
        <v>84</v>
      </c>
      <c r="D4" s="58">
        <v>0</v>
      </c>
      <c r="E4" s="58">
        <v>0.15</v>
      </c>
      <c r="F4" s="8">
        <f>1*(Данные!F87&gt;$E$4)</f>
        <v>0</v>
      </c>
      <c r="G4" s="8">
        <f>1*(Данные!G87&gt;$E$4)</f>
        <v>0</v>
      </c>
      <c r="H4" s="8">
        <f>1*(Данные!H87&gt;$E$4)</f>
        <v>0</v>
      </c>
      <c r="I4" s="8">
        <f>1*(Данные!I87&gt;$E$4)</f>
        <v>0</v>
      </c>
      <c r="J4" s="8">
        <f>1*(Данные!J87&gt;$E$4)</f>
        <v>0</v>
      </c>
      <c r="K4" s="8">
        <f>1*(Данные!K87&gt;$E$4)</f>
        <v>0</v>
      </c>
    </row>
    <row r="5" spans="1:11" ht="173.25">
      <c r="A5" s="14" t="s">
        <v>72</v>
      </c>
      <c r="B5" s="5" t="s">
        <v>215</v>
      </c>
      <c r="C5" s="6" t="s">
        <v>85</v>
      </c>
      <c r="D5" s="58">
        <v>0</v>
      </c>
      <c r="E5" s="58">
        <v>0.1</v>
      </c>
      <c r="F5" s="8">
        <f>IF(Данные!F88&gt;($E$5-0.05*VLOOKUP(F$1,Расчет!$B$7:$C$29,COLUMN(Расчет!$C:$C)-COLUMN(Расчет!$B:$B)+1,FALSE)),1,0)</f>
        <v>0</v>
      </c>
      <c r="G5" s="8">
        <f>IF(Данные!G88&gt;($E$5-0.05*VLOOKUP(G$1,Расчет!$B$7:$C$29,COLUMN(Расчет!$C:$C)-COLUMN(Расчет!$B:$B)+1,FALSE)),1,0)</f>
        <v>0</v>
      </c>
      <c r="H5" s="8">
        <f>IF(Данные!H88&gt;($E$5-0.05*VLOOKUP(H$1,Расчет!$B$7:$C$29,COLUMN(Расчет!$C:$C)-COLUMN(Расчет!$B:$B)+1,FALSE)),1,0)</f>
        <v>0</v>
      </c>
      <c r="I5" s="8">
        <f>IF(Данные!I88&gt;($E$5-0.05*VLOOKUP(I$1,Расчет!$B$7:$C$29,COLUMN(Расчет!$C:$C)-COLUMN(Расчет!$B:$B)+1,FALSE)),1,0)</f>
        <v>0</v>
      </c>
      <c r="J5" s="8">
        <f>IF(Данные!J88&gt;($E$5-0.05*VLOOKUP(J$1,Расчет!$B$7:$C$29,COLUMN(Расчет!$C:$C)-COLUMN(Расчет!$B:$B)+1,FALSE)),1,0)</f>
        <v>0</v>
      </c>
      <c r="K5" s="8">
        <f>IF(Данные!K88&gt;($E$5-0.05*VLOOKUP(K$1,Расчет!$B$7:$C$29,COLUMN(Расчет!$C:$C)-COLUMN(Расчет!$B:$B)+1,FALSE)),1,0)</f>
        <v>0</v>
      </c>
    </row>
    <row r="6" spans="1:11" ht="173.25">
      <c r="A6" s="14" t="s">
        <v>83</v>
      </c>
      <c r="B6" s="5" t="s">
        <v>216</v>
      </c>
      <c r="C6" s="6" t="s">
        <v>86</v>
      </c>
      <c r="D6" s="58">
        <v>0</v>
      </c>
      <c r="E6" s="58">
        <v>1</v>
      </c>
      <c r="F6" s="8">
        <f>IF(Данные!F89&gt;($E$6-0.5*VLOOKUP(F$1,Расчет!$B$7:$C$29,COLUMN(Расчет!$C:$C)-COLUMN(Расчет!$B:$B)+1,FALSE)),1,0)</f>
        <v>0</v>
      </c>
      <c r="G6" s="8">
        <f>IF(Данные!G89&gt;($E$6-0.5*VLOOKUP(G$1,Расчет!$B$7:$C$29,COLUMN(Расчет!$C:$C)-COLUMN(Расчет!$B:$B)+1,FALSE)),1,0)</f>
        <v>0</v>
      </c>
      <c r="H6" s="8">
        <f>IF(Данные!H89&gt;($E$6-0.5*VLOOKUP(H$1,Расчет!$B$7:$C$29,COLUMN(Расчет!$C:$C)-COLUMN(Расчет!$B:$B)+1,FALSE)),1,0)</f>
        <v>0</v>
      </c>
      <c r="I6" s="8">
        <f>IF(Данные!I89&gt;($E$6-0.5*VLOOKUP(I$1,Расчет!$B$7:$C$29,COLUMN(Расчет!$C:$C)-COLUMN(Расчет!$B:$B)+1,FALSE)),1,0)</f>
        <v>0</v>
      </c>
      <c r="J6" s="8">
        <f>IF(Данные!J89&gt;($E$6-0.5*VLOOKUP(J$1,Расчет!$B$7:$C$29,COLUMN(Расчет!$C:$C)-COLUMN(Расчет!$B:$B)+1,FALSE)),1,0)</f>
        <v>0</v>
      </c>
      <c r="K6" s="8">
        <f>IF(Данные!K89&gt;($E$6-0.5*VLOOKUP(K$1,Расчет!$B$7:$C$29,COLUMN(Расчет!$C:$C)-COLUMN(Расчет!$B:$B)+1,FALSE)),1,0)</f>
        <v>0</v>
      </c>
    </row>
    <row r="7" spans="1:11" ht="15.75">
      <c r="A7" s="4"/>
      <c r="B7" s="35" t="s">
        <v>66</v>
      </c>
      <c r="C7" s="6"/>
      <c r="D7" s="4"/>
      <c r="E7" s="4"/>
      <c r="F7" s="4">
        <f>SUM(F2:F6)</f>
        <v>0</v>
      </c>
      <c r="G7" s="4">
        <f t="shared" ref="G7:K7" si="0">SUM(G2:G6)</f>
        <v>0</v>
      </c>
      <c r="H7" s="4">
        <f t="shared" si="0"/>
        <v>0</v>
      </c>
      <c r="I7" s="4">
        <f t="shared" si="0"/>
        <v>0</v>
      </c>
      <c r="J7" s="4">
        <f t="shared" si="0"/>
        <v>0</v>
      </c>
      <c r="K7" s="4">
        <f t="shared" si="0"/>
        <v>0</v>
      </c>
    </row>
  </sheetData>
  <customSheetViews>
    <customSheetView guid="{8ABC692A-193F-4EA9-A7E8-F3C636A6C39C}" showPageBreaks="1" fitToPage="1">
      <pane xSplit="2" ySplit="1" topLeftCell="G5" activePane="bottomRight" state="frozen"/>
      <selection pane="bottomRight" activeCell="J7" sqref="J7"/>
      <pageMargins left="0" right="0" top="0.51181102362204722" bottom="0" header="0" footer="0"/>
      <pageSetup paperSize="9" scale="62" fitToWidth="3" orientation="landscape" r:id="rId1"/>
      <headerFooter>
        <oddHeader xml:space="preserve">&amp;C&amp;"Times New Roman,полужирный"&amp;12
Количество нарушений бюджетного законодательства при организации и осуществлении бюджетного процесса в муниципальных образованиях Ханты-Мансийского автономного округа - Югры&amp;"-,обычный"&amp;11
&amp;RТаблица 4 </oddHeader>
      </headerFooter>
    </customSheetView>
    <customSheetView guid="{147A8583-3101-4745-816E-6D404CE92D5B}" showPageBreaks="1" fitToPage="1">
      <pane xSplit="2" ySplit="1" topLeftCell="G2" activePane="bottomRight" state="frozen"/>
      <selection pane="bottomRight" activeCell="I3" sqref="I3"/>
      <pageMargins left="0" right="0" top="0.51181102362204722" bottom="0" header="0" footer="0"/>
      <pageSetup paperSize="9" scale="62" fitToWidth="3" orientation="landscape" r:id="rId2"/>
      <headerFooter>
        <oddHeader xml:space="preserve">&amp;C&amp;"Times New Roman,полужирный"&amp;12
Количество нарушений бюджетного законодательства при организации и осуществлении бюджетного процесса в муниципальных образованиях Ханты-Мансийского автономного округа - Югры&amp;"-,обычный"&amp;11
&amp;RТаблица 4 </oddHeader>
      </headerFooter>
    </customSheetView>
  </customSheetViews>
  <pageMargins left="0.51181102362204722" right="0" top="0.5" bottom="0.15748031496062992" header="0.2" footer="0"/>
  <pageSetup paperSize="9" scale="60" fitToWidth="3" orientation="landscape" r:id="rId3"/>
  <headerFooter>
    <oddHeader xml:space="preserve">&amp;C&amp;"Times New Roman,полужирный"&amp;12
Количество нарушений бюджетного законодательства при организации и осуществлении бюджетного процесса в поселениях Березовского района по итогам 2015 года&amp;"-,обычный"&amp;11
&amp;RТаблица 4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30"/>
  <dimension ref="A2:N50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40" sqref="B40"/>
    </sheetView>
  </sheetViews>
  <sheetFormatPr defaultColWidth="9.140625" defaultRowHeight="15"/>
  <cols>
    <col min="1" max="1" width="6" style="33" customWidth="1"/>
    <col min="2" max="2" width="56.5703125" style="20" customWidth="1"/>
    <col min="3" max="3" width="18.42578125" style="168" customWidth="1"/>
    <col min="4" max="4" width="9" style="34" customWidth="1"/>
    <col min="5" max="5" width="16.85546875" style="52" customWidth="1"/>
    <col min="6" max="6" width="19.28515625" style="31" hidden="1" customWidth="1"/>
    <col min="7" max="7" width="17.85546875" style="31" hidden="1" customWidth="1"/>
    <col min="8" max="8" width="19.28515625" style="31" hidden="1" customWidth="1"/>
    <col min="9" max="9" width="9.42578125" style="20" customWidth="1"/>
    <col min="10" max="10" width="7.85546875" style="20" bestFit="1" customWidth="1"/>
    <col min="11" max="11" width="10.85546875" style="20" customWidth="1"/>
    <col min="12" max="12" width="10.7109375" style="20" customWidth="1"/>
    <col min="13" max="13" width="10.85546875" style="20" customWidth="1"/>
    <col min="14" max="14" width="8.85546875" style="20" customWidth="1"/>
    <col min="15" max="16384" width="9.140625" style="20"/>
  </cols>
  <sheetData>
    <row r="2" spans="1:14" ht="36.75" customHeight="1">
      <c r="B2" s="243" t="s">
        <v>244</v>
      </c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</row>
    <row r="4" spans="1:14" ht="116.25" customHeight="1">
      <c r="A4" s="15" t="s">
        <v>0</v>
      </c>
      <c r="B4" s="15" t="s">
        <v>17</v>
      </c>
      <c r="C4" s="119" t="s">
        <v>67</v>
      </c>
      <c r="D4" s="53" t="s">
        <v>73</v>
      </c>
      <c r="E4" s="50" t="s">
        <v>68</v>
      </c>
      <c r="F4" s="19"/>
      <c r="G4" s="19"/>
      <c r="H4" s="19"/>
      <c r="I4" s="61" t="s">
        <v>145</v>
      </c>
      <c r="J4" s="61" t="s">
        <v>146</v>
      </c>
      <c r="K4" s="61" t="s">
        <v>147</v>
      </c>
      <c r="L4" s="61" t="s">
        <v>148</v>
      </c>
      <c r="M4" s="61" t="s">
        <v>149</v>
      </c>
      <c r="N4" s="61" t="s">
        <v>150</v>
      </c>
    </row>
    <row r="5" spans="1:14">
      <c r="A5" s="15"/>
      <c r="B5" s="63" t="s">
        <v>32</v>
      </c>
      <c r="C5" s="119"/>
      <c r="D5" s="53"/>
      <c r="E5" s="50"/>
      <c r="F5" s="19"/>
      <c r="G5" s="19"/>
      <c r="H5" s="19"/>
      <c r="I5" s="21">
        <f>SUM($D$6*I6+$D$13*I13+$D$24*I24+$D$28*I28+$D$37*I37+$D$46*I46)</f>
        <v>49.045206529135996</v>
      </c>
      <c r="J5" s="21">
        <f>SUM($D$6*J6+$D$13*J13+$D$24*J24+$D$28*J28+$D$37*J37+$D$46*J46)</f>
        <v>54.987276027452694</v>
      </c>
      <c r="K5" s="21">
        <f t="shared" ref="K5:N5" si="0">SUM($D$6*K6+$D$13*K13+$D$24*K24+$D$28*K28+$D$37*K37+$D$46*K46)</f>
        <v>49.533828994726797</v>
      </c>
      <c r="L5" s="21">
        <f t="shared" si="0"/>
        <v>50.932152932748046</v>
      </c>
      <c r="M5" s="21">
        <f t="shared" si="0"/>
        <v>51.554389794566717</v>
      </c>
      <c r="N5" s="21">
        <f t="shared" si="0"/>
        <v>41.301688496124882</v>
      </c>
    </row>
    <row r="6" spans="1:14" s="26" customFormat="1">
      <c r="A6" s="22"/>
      <c r="B6" s="23" t="s">
        <v>21</v>
      </c>
      <c r="C6" s="23"/>
      <c r="D6" s="24">
        <v>2.25</v>
      </c>
      <c r="E6" s="51"/>
      <c r="F6" s="25"/>
      <c r="G6" s="25"/>
      <c r="H6" s="25"/>
      <c r="I6" s="55">
        <f>SUMPRODUCT($E$7:$E$12,$D$7:$D$12,I7:I12)</f>
        <v>8.2843171163427325</v>
      </c>
      <c r="J6" s="55">
        <f t="shared" ref="J6:N6" si="1">SUMPRODUCT($E$7:$E$12,$D$7:$D$12,J7:J12)</f>
        <v>8.4705356183511622</v>
      </c>
      <c r="K6" s="55">
        <f t="shared" si="1"/>
        <v>8.369683294393667</v>
      </c>
      <c r="L6" s="55">
        <f t="shared" si="1"/>
        <v>6.5</v>
      </c>
      <c r="M6" s="55">
        <f t="shared" si="1"/>
        <v>8.420434499369156</v>
      </c>
      <c r="N6" s="55">
        <f t="shared" si="1"/>
        <v>4.8339275176353214</v>
      </c>
    </row>
    <row r="7" spans="1:14" s="31" customFormat="1" ht="45">
      <c r="A7" s="27" t="str">
        <f>Индикаторы!A8</f>
        <v>1.1</v>
      </c>
      <c r="B7" s="28" t="str">
        <f>Индикаторы!B8</f>
        <v>Своевременность предоставления проекта бюджета на  очередной финансовый год и плановый период в представительный орган</v>
      </c>
      <c r="C7" s="29"/>
      <c r="D7" s="32">
        <v>2</v>
      </c>
      <c r="E7" s="69">
        <v>1</v>
      </c>
      <c r="F7" s="29"/>
      <c r="G7" s="29"/>
      <c r="H7" s="29"/>
      <c r="I7" s="150">
        <f>Индикаторы!H8</f>
        <v>1</v>
      </c>
      <c r="J7" s="150">
        <f>Индикаторы!I8</f>
        <v>1</v>
      </c>
      <c r="K7" s="150">
        <f>Индикаторы!J8</f>
        <v>1</v>
      </c>
      <c r="L7" s="150">
        <f>Индикаторы!K8</f>
        <v>1</v>
      </c>
      <c r="M7" s="150">
        <f>Индикаторы!L8</f>
        <v>1</v>
      </c>
      <c r="N7" s="150">
        <f>Индикаторы!M8</f>
        <v>1</v>
      </c>
    </row>
    <row r="8" spans="1:14" s="31" customFormat="1" ht="30">
      <c r="A8" s="27" t="str">
        <f>Индикаторы!A9</f>
        <v>1.2</v>
      </c>
      <c r="B8" s="28" t="str">
        <f>Индикаторы!B9</f>
        <v>Своевременность утверждения решения о бюджете на очередной финансовый год и плановый период</v>
      </c>
      <c r="C8" s="29"/>
      <c r="D8" s="32">
        <v>1.5</v>
      </c>
      <c r="E8" s="69">
        <v>1</v>
      </c>
      <c r="F8" s="29"/>
      <c r="G8" s="29"/>
      <c r="H8" s="29"/>
      <c r="I8" s="150">
        <f>Индикаторы!H9</f>
        <v>1</v>
      </c>
      <c r="J8" s="150">
        <f>Индикаторы!I9</f>
        <v>1</v>
      </c>
      <c r="K8" s="150">
        <f>Индикаторы!J9</f>
        <v>1</v>
      </c>
      <c r="L8" s="150">
        <f>Индикаторы!K9</f>
        <v>1</v>
      </c>
      <c r="M8" s="150">
        <f>Индикаторы!L9</f>
        <v>1</v>
      </c>
      <c r="N8" s="150">
        <f>Индикаторы!M9</f>
        <v>1</v>
      </c>
    </row>
    <row r="9" spans="1:14" s="31" customFormat="1" ht="58.5" customHeight="1">
      <c r="A9" s="27" t="str">
        <f>Индикаторы!A10</f>
        <v>1.3</v>
      </c>
      <c r="B9" s="28" t="str">
        <f>Индикаторы!B10</f>
        <v xml:space="preserve">Исполнение бюджета поселения по доходам без учета безвозмездных поступлений </v>
      </c>
      <c r="C9" s="29">
        <v>0</v>
      </c>
      <c r="D9" s="32">
        <v>2</v>
      </c>
      <c r="E9" s="69">
        <v>1</v>
      </c>
      <c r="F9" s="29"/>
      <c r="G9" s="29"/>
      <c r="H9" s="29"/>
      <c r="I9" s="30">
        <f>IF($E9=0,0,IFERROR(IF($C9=1,(Индикаторы!H10-Индикаторы!$D10)/(Индикаторы!$E10-Индикаторы!$D10),(Индикаторы!$E10-Индикаторы!H10)/(Индикаторы!$E10-Индикаторы!$D10)),0))</f>
        <v>0.89345205103918945</v>
      </c>
      <c r="J9" s="30">
        <f>IF($E9=0,0,IFERROR(IF($C9=1,(Индикаторы!I10-Индикаторы!$D10)/(Индикаторы!$E10-Индикаторы!$D10),(Индикаторы!$E10-Индикаторы!I10)/(Индикаторы!$E10-Индикаторы!$D10)),0))</f>
        <v>1</v>
      </c>
      <c r="K9" s="30">
        <f>IF($E9=0,0,IFERROR(IF($C9=1,(Индикаторы!J10-Индикаторы!$D10)/(Индикаторы!$E10-Индикаторы!$D10),(Индикаторы!$E10-Индикаторы!J10)/(Индикаторы!$E10-Индикаторы!$D10)),0))</f>
        <v>0.95053044143824417</v>
      </c>
      <c r="L9" s="30">
        <f>IF($E9=0,0,IFERROR(IF($C9=1,(Индикаторы!K10-Индикаторы!$D10)/(Индикаторы!$E10-Индикаторы!$D10),(Индикаторы!$E10-Индикаторы!K10)/(Индикаторы!$E10-Индикаторы!$D10)),0))</f>
        <v>0</v>
      </c>
      <c r="M9" s="30">
        <f>IF($E9=0,0,IFERROR(IF($C9=1,(Индикаторы!L10-Индикаторы!$D10)/(Индикаторы!$E10-Индикаторы!$D10),(Индикаторы!$E10-Индикаторы!L10)/(Индикаторы!$E10-Индикаторы!$D10)),0))</f>
        <v>0.97130561677656879</v>
      </c>
      <c r="N9" s="30">
        <f>IF($E9=0,0,IFERROR(IF($C9=1,(Индикаторы!M10-Индикаторы!$D10)/(Индикаторы!$E10-Индикаторы!$D10),(Индикаторы!$E10-Индикаторы!M10)/(Индикаторы!$E10-Индикаторы!$D10)),0))</f>
        <v>0.16696375881766057</v>
      </c>
    </row>
    <row r="10" spans="1:14" s="31" customFormat="1" ht="90">
      <c r="A10" s="27" t="str">
        <f>Индикаторы!A11</f>
        <v>1.4</v>
      </c>
      <c r="B10" s="28" t="str">
        <f>Индикаторы!B11</f>
        <v>Наличие муниципального правового акта о проведении ежегодной оценки эффективности предоставленных (планируемых к предоставлению) налоговых льгот и ставок налогов, установленных (планируемых к установлению) представительным органом местного самоуправления муниципального образования</v>
      </c>
      <c r="C10" s="29"/>
      <c r="D10" s="32">
        <v>1</v>
      </c>
      <c r="E10" s="69">
        <v>1</v>
      </c>
      <c r="F10" s="29"/>
      <c r="G10" s="29"/>
      <c r="H10" s="29"/>
      <c r="I10" s="150">
        <f>Индикаторы!H11</f>
        <v>1</v>
      </c>
      <c r="J10" s="150">
        <f>Индикаторы!I11</f>
        <v>1</v>
      </c>
      <c r="K10" s="150">
        <f>Индикаторы!J11</f>
        <v>1</v>
      </c>
      <c r="L10" s="150">
        <f>Индикаторы!K11</f>
        <v>1</v>
      </c>
      <c r="M10" s="150">
        <f>Индикаторы!L11</f>
        <v>1</v>
      </c>
      <c r="N10" s="150">
        <f>Индикаторы!M11</f>
        <v>1</v>
      </c>
    </row>
    <row r="11" spans="1:14" s="31" customFormat="1" ht="75">
      <c r="A11" s="27" t="str">
        <f>Индикаторы!A12</f>
        <v>1.5</v>
      </c>
      <c r="B11" s="28" t="str">
        <f>Индикаторы!B12</f>
        <v>Доля расходов бюджета поселения, формируемых в рамках муниципальных программ в общем объеме расходов бюджета (за исключением расходов, осуществляемых за счет иных межбюджетных трансфертов, предоставляемых в рамках муниципальных программ)</v>
      </c>
      <c r="C11" s="29">
        <v>1</v>
      </c>
      <c r="D11" s="32">
        <v>2</v>
      </c>
      <c r="E11" s="69">
        <v>1</v>
      </c>
      <c r="F11" s="32"/>
      <c r="G11" s="29"/>
      <c r="H11" s="29"/>
      <c r="I11" s="30">
        <f>IF($E11=0,0,IFERROR(IF($C11=1,(Индикаторы!H12-Индикаторы!$D12)/(Индикаторы!$E12-Индикаторы!$D12),(Индикаторы!$E12-Индикаторы!H12)/(Индикаторы!$E12-Индикаторы!$D12)),0))</f>
        <v>0.99870650713217635</v>
      </c>
      <c r="J11" s="30">
        <f>IF($E11=0,0,IFERROR(IF($C11=1,(Индикаторы!I12-Индикаторы!$D12)/(Индикаторы!$E12-Индикаторы!$D12),(Индикаторы!$E12-Индикаторы!I12)/(Индикаторы!$E12-Индикаторы!$D12)),0))</f>
        <v>0.98526780917558121</v>
      </c>
      <c r="K11" s="30">
        <f>IF($E11=0,0,IFERROR(IF($C11=1,(Индикаторы!J12-Индикаторы!$D12)/(Индикаторы!$E12-Индикаторы!$D12),(Индикаторы!$E12-Индикаторы!J12)/(Индикаторы!$E12-Индикаторы!$D12)),0))</f>
        <v>0.98431120575858966</v>
      </c>
      <c r="L11" s="30">
        <f>IF($E11=0,0,IFERROR(IF($C11=1,(Индикаторы!K12-Индикаторы!$D12)/(Индикаторы!$E12-Индикаторы!$D12),(Индикаторы!$E12-Индикаторы!K12)/(Индикаторы!$E12-Индикаторы!$D12)),0))</f>
        <v>1</v>
      </c>
      <c r="M11" s="30">
        <f>IF($E11=0,0,IFERROR(IF($C11=1,(Индикаторы!L12-Индикаторы!$D12)/(Индикаторы!$E12-Индикаторы!$D12),(Индикаторы!$E12-Индикаторы!L12)/(Индикаторы!$E12-Индикаторы!$D12)),0))</f>
        <v>0.98891163290800921</v>
      </c>
      <c r="N11" s="30">
        <f>IF($E11=0,0,IFERROR(IF($C11=1,(Индикаторы!M12-Индикаторы!$D12)/(Индикаторы!$E12-Индикаторы!$D12),(Индикаторы!$E12-Индикаторы!M12)/(Индикаторы!$E12-Индикаторы!$D12)),0))</f>
        <v>0</v>
      </c>
    </row>
    <row r="12" spans="1:14" s="31" customFormat="1" ht="81.75" customHeight="1">
      <c r="A12" s="27" t="str">
        <f>Индикаторы!A13</f>
        <v>1.6</v>
      </c>
      <c r="B12" s="28" t="str">
        <f>Индикаторы!B13</f>
        <v xml:space="preserve">Объем планируемых к привлечению бюджетных кредитов от других бюджетов бюджетной системы, предусмотренных в качестве источника финансирования дефицита бюджетов муниципального образования </v>
      </c>
      <c r="C12" s="29"/>
      <c r="D12" s="32">
        <v>1.5</v>
      </c>
      <c r="E12" s="69">
        <v>1</v>
      </c>
      <c r="F12" s="32"/>
      <c r="G12" s="32"/>
      <c r="H12" s="32"/>
      <c r="I12" s="150">
        <f>Индикаторы!H13</f>
        <v>0</v>
      </c>
      <c r="J12" s="150">
        <f>Индикаторы!I13</f>
        <v>0</v>
      </c>
      <c r="K12" s="150">
        <f>Индикаторы!J13</f>
        <v>0</v>
      </c>
      <c r="L12" s="150">
        <f>Индикаторы!K13</f>
        <v>0</v>
      </c>
      <c r="M12" s="150">
        <f>Индикаторы!L13</f>
        <v>0</v>
      </c>
      <c r="N12" s="150">
        <f>Индикаторы!M13</f>
        <v>0</v>
      </c>
    </row>
    <row r="13" spans="1:14" s="39" customFormat="1">
      <c r="A13" s="22"/>
      <c r="B13" s="193" t="s">
        <v>22</v>
      </c>
      <c r="C13" s="194"/>
      <c r="D13" s="195">
        <v>2.25</v>
      </c>
      <c r="E13" s="194"/>
      <c r="F13" s="37"/>
      <c r="G13" s="38"/>
      <c r="H13" s="38"/>
      <c r="I13" s="55">
        <f t="shared" ref="I13:N13" si="2">SUMPRODUCT($E$14:$E$23,$D$14:$D$23,I14:I23)</f>
        <v>4.4579968966065984</v>
      </c>
      <c r="J13" s="55">
        <f t="shared" si="2"/>
        <v>5.1349203938500345</v>
      </c>
      <c r="K13" s="55">
        <f t="shared" si="2"/>
        <v>5.0342407032626868</v>
      </c>
      <c r="L13" s="55">
        <f t="shared" si="2"/>
        <v>6.6365124145546863</v>
      </c>
      <c r="M13" s="55">
        <f t="shared" si="2"/>
        <v>5.6592942982160501</v>
      </c>
      <c r="N13" s="55">
        <f t="shared" si="2"/>
        <v>6.68904514730907</v>
      </c>
    </row>
    <row r="14" spans="1:14" s="31" customFormat="1" ht="30">
      <c r="A14" s="27" t="str">
        <f>Индикаторы!A15</f>
        <v>2.1</v>
      </c>
      <c r="B14" s="28" t="str">
        <f>Индикаторы!B15</f>
        <v>Количество изменений, внесенных в решение о бюджете поселения в отчетном финансовом году</v>
      </c>
      <c r="C14" s="29">
        <v>0</v>
      </c>
      <c r="D14" s="29">
        <v>0.75</v>
      </c>
      <c r="E14" s="69">
        <v>1</v>
      </c>
      <c r="F14" s="32"/>
      <c r="G14" s="32"/>
      <c r="H14" s="32"/>
      <c r="I14" s="30">
        <f>IF($E14=0,0,IFERROR(IF($C14=1,(Индикаторы!H15-Индикаторы!$D15)/(Индикаторы!$E15-Индикаторы!$D15),(Индикаторы!$E15-Индикаторы!H15)/(Индикаторы!$E15-Индикаторы!$D15)),0))</f>
        <v>1</v>
      </c>
      <c r="J14" s="30">
        <f>IF($E14=0,0,IFERROR(IF($C14=1,(Индикаторы!I15-Индикаторы!$D15)/(Индикаторы!$E15-Индикаторы!$D15),(Индикаторы!$E15-Индикаторы!I15)/(Индикаторы!$E15-Индикаторы!$D15)),0))</f>
        <v>0.75</v>
      </c>
      <c r="K14" s="30">
        <f>IF($E14=0,0,IFERROR(IF($C14=1,(Индикаторы!J15-Индикаторы!$D15)/(Индикаторы!$E15-Индикаторы!$D15),(Индикаторы!$E15-Индикаторы!J15)/(Индикаторы!$E15-Индикаторы!$D15)),0))</f>
        <v>0.5</v>
      </c>
      <c r="L14" s="30">
        <f>IF($E14=0,0,IFERROR(IF($C14=1,(Индикаторы!K15-Индикаторы!$D15)/(Индикаторы!$E15-Индикаторы!$D15),(Индикаторы!$E15-Индикаторы!K15)/(Индикаторы!$E15-Индикаторы!$D15)),0))</f>
        <v>0</v>
      </c>
      <c r="M14" s="30">
        <f>IF($E14=0,0,IFERROR(IF($C14=1,(Индикаторы!L15-Индикаторы!$D15)/(Индикаторы!$E15-Индикаторы!$D15),(Индикаторы!$E15-Индикаторы!L15)/(Индикаторы!$E15-Индикаторы!$D15)),0))</f>
        <v>1</v>
      </c>
      <c r="N14" s="30">
        <f>IF($E14=0,0,IFERROR(IF($C14=1,(Индикаторы!M15-Индикаторы!$D15)/(Индикаторы!$E15-Индикаторы!$D15),(Индикаторы!$E15-Индикаторы!M15)/(Индикаторы!$E15-Индикаторы!$D15)),0))</f>
        <v>0.75</v>
      </c>
    </row>
    <row r="15" spans="1:14" s="31" customFormat="1" ht="60">
      <c r="A15" s="27" t="str">
        <f>Индикаторы!A16</f>
        <v>2.2</v>
      </c>
      <c r="B15" s="28" t="str">
        <f>Индикаторы!B16</f>
        <v>Темп роста поступлений налоговых доходов бюджета поселения (без учета налоговых доходов по дополнительным нормативам отчислений) к соответствующему периоду прошлого года</v>
      </c>
      <c r="C15" s="29">
        <v>1</v>
      </c>
      <c r="D15" s="29">
        <v>1.75</v>
      </c>
      <c r="E15" s="69">
        <v>1</v>
      </c>
      <c r="F15" s="29"/>
      <c r="G15" s="29"/>
      <c r="H15" s="29"/>
      <c r="I15" s="30">
        <f>IF($E15=0,0,IFERROR(IF($C15=1,(Индикаторы!H16-Индикаторы!$D16)/(Индикаторы!$E16-Индикаторы!$D16),(Индикаторы!$E16-Индикаторы!H16)/(Индикаторы!$E16-Индикаторы!$D16)),0))</f>
        <v>0</v>
      </c>
      <c r="J15" s="30">
        <f>IF($E15=0,0,IFERROR(IF($C15=1,(Индикаторы!I16-Индикаторы!$D16)/(Индикаторы!$E16-Индикаторы!$D16),(Индикаторы!$E16-Индикаторы!I16)/(Индикаторы!$E16-Индикаторы!$D16)),0))</f>
        <v>0.34491703956558006</v>
      </c>
      <c r="K15" s="30">
        <f>IF($E15=0,0,IFERROR(IF($C15=1,(Индикаторы!J16-Индикаторы!$D16)/(Индикаторы!$E16-Индикаторы!$D16),(Индикаторы!$E16-Индикаторы!J16)/(Индикаторы!$E16-Индикаторы!$D16)),0))</f>
        <v>0.10621693303055885</v>
      </c>
      <c r="L15" s="30">
        <f>IF($E15=0,0,IFERROR(IF($C15=1,(Индикаторы!K16-Индикаторы!$D16)/(Индикаторы!$E16-Индикаторы!$D16),(Индикаторы!$E16-Индикаторы!K16)/(Индикаторы!$E16-Индикаторы!$D16)),0))</f>
        <v>1</v>
      </c>
      <c r="M15" s="30">
        <f>IF($E15=0,0,IFERROR(IF($C15=1,(Индикаторы!L16-Индикаторы!$D16)/(Индикаторы!$E16-Индикаторы!$D16),(Индикаторы!$E16-Индикаторы!L16)/(Индикаторы!$E16-Индикаторы!$D16)),0))</f>
        <v>0.29166883399636911</v>
      </c>
      <c r="N15" s="30">
        <f>IF($E15=0,0,IFERROR(IF($C15=1,(Индикаторы!M16-Индикаторы!$D16)/(Индикаторы!$E16-Индикаторы!$D16),(Индикаторы!$E16-Индикаторы!M16)/(Индикаторы!$E16-Индикаторы!$D16)),0))</f>
        <v>0.58761524357687767</v>
      </c>
    </row>
    <row r="16" spans="1:14" s="31" customFormat="1" ht="30">
      <c r="A16" s="27" t="str">
        <f>Индикаторы!A17</f>
        <v>2.3</v>
      </c>
      <c r="B16" s="28" t="str">
        <f>Индикаторы!B17</f>
        <v>Темп роста поступлений неналоговых доходов бюджета поселения к соответствующему периоду прошлого года</v>
      </c>
      <c r="C16" s="29">
        <v>1</v>
      </c>
      <c r="D16" s="29">
        <v>1.75</v>
      </c>
      <c r="E16" s="69">
        <v>1</v>
      </c>
      <c r="F16" s="29"/>
      <c r="G16" s="29"/>
      <c r="H16" s="29"/>
      <c r="I16" s="30">
        <f>IF($E16=0,0,IFERROR(IF($C16=1,(Индикаторы!H17-Индикаторы!$D17)/(Индикаторы!$E17-Индикаторы!$D17),(Индикаторы!$E17-Индикаторы!H17)/(Индикаторы!$E17-Индикаторы!$D17)),0))</f>
        <v>0.26916109315070613</v>
      </c>
      <c r="J16" s="30">
        <f>IF($E16=0,0,IFERROR(IF($C16=1,(Индикаторы!I17-Индикаторы!$D17)/(Индикаторы!$E17-Индикаторы!$D17),(Индикаторы!$E17-Индикаторы!I17)/(Индикаторы!$E17-Индикаторы!$D17)),0))</f>
        <v>0</v>
      </c>
      <c r="K16" s="30">
        <f>IF($E16=0,0,IFERROR(IF($C16=1,(Индикаторы!J17-Индикаторы!$D17)/(Индикаторы!$E17-Индикаторы!$D17),(Индикаторы!$E17-Индикаторы!J17)/(Индикаторы!$E17-Индикаторы!$D17)),0))</f>
        <v>1</v>
      </c>
      <c r="L16" s="30">
        <f>IF($E16=0,0,IFERROR(IF($C16=1,(Индикаторы!K17-Индикаторы!$D17)/(Индикаторы!$E17-Индикаторы!$D17),(Индикаторы!$E17-Индикаторы!K17)/(Индикаторы!$E17-Индикаторы!$D17)),0))</f>
        <v>0.36372137974553509</v>
      </c>
      <c r="M16" s="30">
        <f>IF($E16=0,0,IFERROR(IF($C16=1,(Индикаторы!L17-Индикаторы!$D17)/(Индикаторы!$E17-Индикаторы!$D17),(Индикаторы!$E17-Индикаторы!L17)/(Индикаторы!$E17-Индикаторы!$D17)),0))</f>
        <v>8.5070764984231245E-2</v>
      </c>
      <c r="N16" s="30">
        <f>IF($E16=0,0,IFERROR(IF($C16=1,(Индикаторы!M17-Индикаторы!$D17)/(Индикаторы!$E17-Индикаторы!$D17),(Индикаторы!$E17-Индикаторы!M17)/(Индикаторы!$E17-Индикаторы!$D17)),0))</f>
        <v>0.25841352813699719</v>
      </c>
    </row>
    <row r="17" spans="1:14" s="31" customFormat="1" ht="30">
      <c r="A17" s="27" t="str">
        <f>Индикаторы!A18</f>
        <v>2.4</v>
      </c>
      <c r="B17" s="28" t="str">
        <f>Индикаторы!B18</f>
        <v>Отношение сумм финансовых нарушений, выявленных по актам ревизии, проверок к расходам бюджета поселения</v>
      </c>
      <c r="C17" s="29">
        <v>0</v>
      </c>
      <c r="D17" s="211">
        <v>0.75</v>
      </c>
      <c r="E17" s="69">
        <v>1</v>
      </c>
      <c r="F17" s="29"/>
      <c r="G17" s="29"/>
      <c r="H17" s="29"/>
      <c r="I17" s="30">
        <f>IF($E17=0,0,IFERROR(IF($C17=1,(Индикаторы!H18-Индикаторы!$D18)/(Индикаторы!$E18-Индикаторы!$D18),(Индикаторы!$E18-Индикаторы!H18)/(Индикаторы!$E18-Индикаторы!$D18)),0))</f>
        <v>1</v>
      </c>
      <c r="J17" s="30">
        <f>IF($E17=0,0,IFERROR(IF($C17=1,(Индикаторы!I18-Индикаторы!$D18)/(Индикаторы!$E18-Индикаторы!$D18),(Индикаторы!$E18-Индикаторы!I18)/(Индикаторы!$E18-Индикаторы!$D18)),0))</f>
        <v>1</v>
      </c>
      <c r="K17" s="30">
        <f>IF($E17=0,0,IFERROR(IF($C17=1,(Индикаторы!J18-Индикаторы!$D18)/(Индикаторы!$E18-Индикаторы!$D18),(Индикаторы!$E18-Индикаторы!J18)/(Индикаторы!$E18-Индикаторы!$D18)),0))</f>
        <v>0</v>
      </c>
      <c r="L17" s="30">
        <f>IF($E17=0,0,IFERROR(IF($C17=1,(Индикаторы!K18-Индикаторы!$D18)/(Индикаторы!$E18-Индикаторы!$D18),(Индикаторы!$E18-Индикаторы!K18)/(Индикаторы!$E18-Индикаторы!$D18)),0))</f>
        <v>1</v>
      </c>
      <c r="M17" s="30">
        <f>IF($E17=0,0,IFERROR(IF($C17=1,(Индикаторы!L18-Индикаторы!$D18)/(Индикаторы!$E18-Индикаторы!$D18),(Индикаторы!$E18-Индикаторы!L18)/(Индикаторы!$E18-Индикаторы!$D18)),0))</f>
        <v>1</v>
      </c>
      <c r="N17" s="30">
        <f>IF($E17=0,0,IFERROR(IF($C17=1,(Индикаторы!M18-Индикаторы!$D18)/(Индикаторы!$E18-Индикаторы!$D18),(Индикаторы!$E18-Индикаторы!M18)/(Индикаторы!$E18-Индикаторы!$D18)),0))</f>
        <v>1</v>
      </c>
    </row>
    <row r="18" spans="1:14" s="31" customFormat="1" ht="75">
      <c r="A18" s="27" t="str">
        <f>Индикаторы!A19</f>
        <v>2.5</v>
      </c>
      <c r="B18" s="28" t="str">
        <f>Индикаторы!B19</f>
        <v>Отношение объема расходов бюджета поселения в IV квартале к среднему объему расходов за I – III кварталы (без учета расходов, осуществляемых за счет субсидий, субвенций и иных межбюджетных трансфертов,  имеющих целевое назначение из бюджета района)</v>
      </c>
      <c r="C18" s="29">
        <v>0</v>
      </c>
      <c r="D18" s="29">
        <v>0.5</v>
      </c>
      <c r="E18" s="69">
        <v>1</v>
      </c>
      <c r="F18" s="29"/>
      <c r="G18" s="29"/>
      <c r="H18" s="29"/>
      <c r="I18" s="30">
        <f>IF($E18=0,0,IFERROR(IF($C18=1,(Индикаторы!H19-Индикаторы!$D19)/(Индикаторы!$E19-Индикаторы!$D19),(Индикаторы!$E19-Индикаторы!H19)/(Индикаторы!$E19-Индикаторы!$D19)),0))</f>
        <v>0.97392996718572544</v>
      </c>
      <c r="J18" s="30">
        <f>IF($E18=0,0,IFERROR(IF($C18=1,(Индикаторы!I19-Индикаторы!$D19)/(Индикаторы!$E19-Индикаторы!$D19),(Индикаторы!$E19-Индикаторы!I19)/(Индикаторы!$E19-Индикаторы!$D19)),0))</f>
        <v>0.84340032765344453</v>
      </c>
      <c r="K18" s="30">
        <f>IF($E18=0,0,IFERROR(IF($C18=1,(Индикаторы!J19-Индикаторы!$D19)/(Индикаторы!$E19-Индикаторы!$D19),(Индикаторы!$E19-Индикаторы!J19)/(Индикаторы!$E19-Индикаторы!$D19)),0))</f>
        <v>0.85847512009629989</v>
      </c>
      <c r="L18" s="30">
        <f>IF($E18=0,0,IFERROR(IF($C18=1,(Индикаторы!K19-Индикаторы!$D19)/(Индикаторы!$E19-Индикаторы!$D19),(Индикаторы!$E19-Индикаторы!K19)/(Индикаторы!$E19-Индикаторы!$D19)),0))</f>
        <v>0</v>
      </c>
      <c r="M18" s="30">
        <f>IF($E18=0,0,IFERROR(IF($C18=1,(Индикаторы!L19-Индикаторы!$D19)/(Индикаторы!$E19-Индикаторы!$D19),(Индикаторы!$E19-Индикаторы!L19)/(Индикаторы!$E19-Индикаторы!$D19)),0))</f>
        <v>1</v>
      </c>
      <c r="N18" s="30">
        <f>IF($E18=0,0,IFERROR(IF($C18=1,(Индикаторы!M19-Индикаторы!$D19)/(Индикаторы!$E19-Индикаторы!$D19),(Индикаторы!$E19-Индикаторы!M19)/(Индикаторы!$E19-Индикаторы!$D19)),0))</f>
        <v>0.79198959361957821</v>
      </c>
    </row>
    <row r="19" spans="1:14" s="31" customFormat="1" ht="90">
      <c r="A19" s="27" t="str">
        <f>Индикаторы!A20</f>
        <v>2.6</v>
      </c>
      <c r="B19" s="28" t="str">
        <f>Индикаторы!B20</f>
        <v>Доля расходов бюджета поселения на компенсацию предприятиям жилищно-коммунальной сферы разницы между экономически обоснованными тарифами и тарифами, установленными для населения, и на покрытие убытков предприятий жилищно-коммунального хозяйства, в общем объеме расходов бюджета поселения</v>
      </c>
      <c r="C19" s="29">
        <v>0</v>
      </c>
      <c r="D19" s="32">
        <v>1</v>
      </c>
      <c r="E19" s="69">
        <v>1</v>
      </c>
      <c r="F19" s="29"/>
      <c r="G19" s="29"/>
      <c r="H19" s="29"/>
      <c r="I19" s="30">
        <f>IF($E19=0,0,IFERROR(IF($C19=1,(Индикаторы!H20-Индикаторы!$D20)/(Индикаторы!$E20-Индикаторы!$D20),(Индикаторы!$E20-Индикаторы!H20)/(Индикаторы!$E20-Индикаторы!$D20)),0))</f>
        <v>0</v>
      </c>
      <c r="J19" s="30">
        <f>IF($E19=0,0,IFERROR(IF($C19=1,(Индикаторы!I20-Индикаторы!$D20)/(Индикаторы!$E20-Индикаторы!$D20),(Индикаторы!$E20-Индикаторы!I20)/(Индикаторы!$E20-Индикаторы!$D20)),0))</f>
        <v>0.79711541078354753</v>
      </c>
      <c r="K19" s="30">
        <f>IF($E19=0,0,IFERROR(IF($C19=1,(Индикаторы!J20-Индикаторы!$D20)/(Индикаторы!$E20-Индикаторы!$D20),(Индикаторы!$E20-Индикаторы!J20)/(Индикаторы!$E20-Индикаторы!$D20)),0))</f>
        <v>0.29412351041105911</v>
      </c>
      <c r="L19" s="30">
        <f>IF($E19=0,0,IFERROR(IF($C19=1,(Индикаторы!K20-Индикаторы!$D20)/(Индикаторы!$E20-Индикаторы!$D20),(Индикаторы!$E20-Индикаторы!K20)/(Индикаторы!$E20-Индикаторы!$D20)),0))</f>
        <v>1</v>
      </c>
      <c r="M19" s="30">
        <f>IF($E19=0,0,IFERROR(IF($C19=1,(Индикаторы!L20-Индикаторы!$D20)/(Индикаторы!$E20-Индикаторы!$D20),(Индикаторы!$E20-Индикаторы!L20)/(Индикаторы!$E20-Индикаторы!$D20)),0))</f>
        <v>1</v>
      </c>
      <c r="N19" s="30">
        <f>IF($E19=0,0,IFERROR(IF($C19=1,(Индикаторы!M20-Индикаторы!$D20)/(Индикаторы!$E20-Индикаторы!$D20),(Индикаторы!$E20-Индикаторы!M20)/(Индикаторы!$E20-Индикаторы!$D20)),0))</f>
        <v>1</v>
      </c>
    </row>
    <row r="20" spans="1:14" s="31" customFormat="1" ht="45">
      <c r="A20" s="27" t="str">
        <f>Индикаторы!A21</f>
        <v>2.7</v>
      </c>
      <c r="B20" s="28" t="str">
        <f>Индикаторы!B21</f>
        <v xml:space="preserve">Отсутствие просроченной кредиторской задолженности бюджета поселения в отчетном финансовом году на отчетные даты </v>
      </c>
      <c r="C20" s="29"/>
      <c r="D20" s="32">
        <v>1</v>
      </c>
      <c r="E20" s="69">
        <v>1</v>
      </c>
      <c r="F20" s="165"/>
      <c r="G20" s="165"/>
      <c r="H20" s="165"/>
      <c r="I20" s="150">
        <f>Индикаторы!H21</f>
        <v>1</v>
      </c>
      <c r="J20" s="150">
        <f>Индикаторы!I21</f>
        <v>1</v>
      </c>
      <c r="K20" s="150">
        <f>Индикаторы!J21</f>
        <v>1</v>
      </c>
      <c r="L20" s="150">
        <f>Индикаторы!K21</f>
        <v>1</v>
      </c>
      <c r="M20" s="150">
        <f>Индикаторы!L21</f>
        <v>1</v>
      </c>
      <c r="N20" s="150">
        <f>Индикаторы!M21</f>
        <v>1</v>
      </c>
    </row>
    <row r="21" spans="1:14" s="31" customFormat="1" ht="45">
      <c r="A21" s="27" t="str">
        <f>Индикаторы!A22</f>
        <v>2.8</v>
      </c>
      <c r="B21" s="28" t="str">
        <f>Индикаторы!B22</f>
        <v>Отсутствие просроченной кредиторской задолженности бюджета поселения по выплате заработной платы за счет средств местного бюджета</v>
      </c>
      <c r="C21" s="29"/>
      <c r="D21" s="32">
        <v>1</v>
      </c>
      <c r="E21" s="69">
        <v>1</v>
      </c>
      <c r="F21" s="29"/>
      <c r="G21" s="29"/>
      <c r="H21" s="29"/>
      <c r="I21" s="150">
        <f>Индикаторы!H22</f>
        <v>1</v>
      </c>
      <c r="J21" s="150">
        <f>Индикаторы!I22</f>
        <v>1</v>
      </c>
      <c r="K21" s="150">
        <f>Индикаторы!J22</f>
        <v>1</v>
      </c>
      <c r="L21" s="150">
        <f>Индикаторы!K22</f>
        <v>1</v>
      </c>
      <c r="M21" s="150">
        <f>Индикаторы!L22</f>
        <v>1</v>
      </c>
      <c r="N21" s="150">
        <f>Индикаторы!M22</f>
        <v>1</v>
      </c>
    </row>
    <row r="22" spans="1:14" s="31" customFormat="1" ht="30">
      <c r="A22" s="27" t="str">
        <f>Индикаторы!A23</f>
        <v>2.9</v>
      </c>
      <c r="B22" s="28" t="str">
        <f>Индикаторы!B23</f>
        <v>Количество передвижек в сводной бюджетной росписи, произведенных в отчетном году</v>
      </c>
      <c r="C22" s="29"/>
      <c r="D22" s="29">
        <v>0.5</v>
      </c>
      <c r="E22" s="69">
        <v>1</v>
      </c>
      <c r="F22" s="29"/>
      <c r="G22" s="29"/>
      <c r="H22" s="29"/>
      <c r="I22" s="150">
        <f>Индикаторы!H23</f>
        <v>0</v>
      </c>
      <c r="J22" s="150">
        <f>Индикаторы!I23</f>
        <v>0</v>
      </c>
      <c r="K22" s="150">
        <f>Индикаторы!J23</f>
        <v>0</v>
      </c>
      <c r="L22" s="150">
        <f>Индикаторы!K23</f>
        <v>1</v>
      </c>
      <c r="M22" s="150">
        <f>Индикаторы!L23</f>
        <v>0</v>
      </c>
      <c r="N22" s="150">
        <f>Индикаторы!M23</f>
        <v>1</v>
      </c>
    </row>
    <row r="23" spans="1:14" s="31" customFormat="1" ht="69" customHeight="1">
      <c r="A23" s="27" t="str">
        <f>Индикаторы!A24</f>
        <v>2.10</v>
      </c>
      <c r="B23" s="28" t="str">
        <f>Индикаторы!B24</f>
        <v>Наличие результатов контроля за исполнением муниципальных заданий на предоставление муниципальных услуг юридическим и физическим лицам в соответствии с порядком, утвержденным муниципальным правовым актом</v>
      </c>
      <c r="C23" s="29"/>
      <c r="D23" s="29">
        <v>0.75</v>
      </c>
      <c r="E23" s="69">
        <v>1</v>
      </c>
      <c r="F23" s="29"/>
      <c r="G23" s="29"/>
      <c r="H23" s="29"/>
      <c r="I23" s="150">
        <f>Индикаторы!H24</f>
        <v>0</v>
      </c>
      <c r="J23" s="150">
        <f>Индикаторы!I24</f>
        <v>0</v>
      </c>
      <c r="K23" s="150">
        <f>Индикаторы!J24</f>
        <v>0</v>
      </c>
      <c r="L23" s="150">
        <f>Индикаторы!K24</f>
        <v>0</v>
      </c>
      <c r="M23" s="150">
        <f>Индикаторы!L24</f>
        <v>0</v>
      </c>
      <c r="N23" s="150">
        <f>Индикаторы!M24</f>
        <v>0</v>
      </c>
    </row>
    <row r="24" spans="1:14" s="39" customFormat="1" ht="28.15" customHeight="1">
      <c r="A24" s="22"/>
      <c r="B24" s="193" t="s">
        <v>23</v>
      </c>
      <c r="C24" s="193"/>
      <c r="D24" s="195">
        <v>1.75</v>
      </c>
      <c r="E24" s="194"/>
      <c r="F24" s="37"/>
      <c r="G24" s="38"/>
      <c r="H24" s="38"/>
      <c r="I24" s="55">
        <f>SUMPRODUCT($E$25:$E$27,$D$25:$D$27,I25:I27)</f>
        <v>6.5</v>
      </c>
      <c r="J24" s="55">
        <f t="shared" ref="J24:N24" si="3">SUMPRODUCT($E$25:$E$27,$D$25:$D$27,J25:J27)</f>
        <v>6.5</v>
      </c>
      <c r="K24" s="55">
        <f t="shared" si="3"/>
        <v>6.5</v>
      </c>
      <c r="L24" s="55">
        <f t="shared" si="3"/>
        <v>6.5</v>
      </c>
      <c r="M24" s="55">
        <f t="shared" si="3"/>
        <v>6.5</v>
      </c>
      <c r="N24" s="55">
        <f t="shared" si="3"/>
        <v>6.5</v>
      </c>
    </row>
    <row r="25" spans="1:14" s="31" customFormat="1" ht="35.25" customHeight="1">
      <c r="A25" s="29" t="str">
        <f>Индикаторы!A26</f>
        <v>3.1</v>
      </c>
      <c r="B25" s="159" t="str">
        <f>Индикаторы!B26</f>
        <v>Отсутствие просроченной задолженности по долговым обязательствам</v>
      </c>
      <c r="C25" s="29"/>
      <c r="D25" s="29">
        <v>3.5</v>
      </c>
      <c r="E25" s="69">
        <v>1</v>
      </c>
      <c r="F25" s="29"/>
      <c r="G25" s="29"/>
      <c r="H25" s="29"/>
      <c r="I25" s="150">
        <f>Индикаторы!H26</f>
        <v>1</v>
      </c>
      <c r="J25" s="150">
        <f>Индикаторы!I26</f>
        <v>1</v>
      </c>
      <c r="K25" s="150">
        <f>Индикаторы!J26</f>
        <v>1</v>
      </c>
      <c r="L25" s="150">
        <f>Индикаторы!K26</f>
        <v>1</v>
      </c>
      <c r="M25" s="150">
        <f>Индикаторы!L26</f>
        <v>1</v>
      </c>
      <c r="N25" s="150">
        <f>Индикаторы!M26</f>
        <v>1</v>
      </c>
    </row>
    <row r="26" spans="1:14" s="31" customFormat="1" ht="30">
      <c r="A26" s="29" t="str">
        <f>Индикаторы!A27</f>
        <v>3.2</v>
      </c>
      <c r="B26" s="28" t="str">
        <f>Индикаторы!B27</f>
        <v>Отсутствие выплат поселением по предоставленным муниципальным гарантиям в отчетном финансовом году</v>
      </c>
      <c r="C26" s="29"/>
      <c r="D26" s="32">
        <v>3</v>
      </c>
      <c r="E26" s="69">
        <v>1</v>
      </c>
      <c r="F26" s="29"/>
      <c r="G26" s="29"/>
      <c r="H26" s="29"/>
      <c r="I26" s="150">
        <f>Индикаторы!H27</f>
        <v>1</v>
      </c>
      <c r="J26" s="150">
        <f>Индикаторы!I27</f>
        <v>1</v>
      </c>
      <c r="K26" s="150">
        <f>Индикаторы!J27</f>
        <v>1</v>
      </c>
      <c r="L26" s="150">
        <f>Индикаторы!K27</f>
        <v>1</v>
      </c>
      <c r="M26" s="150">
        <f>Индикаторы!L27</f>
        <v>1</v>
      </c>
      <c r="N26" s="150">
        <f>Индикаторы!M27</f>
        <v>1</v>
      </c>
    </row>
    <row r="27" spans="1:14" s="31" customFormat="1">
      <c r="A27" s="29" t="str">
        <f>Индикаторы!A28</f>
        <v>3.3</v>
      </c>
      <c r="B27" s="28" t="str">
        <f>Индикаторы!B28</f>
        <v>Уровень долговой нагрузки на местный бюджет</v>
      </c>
      <c r="C27" s="29">
        <v>0</v>
      </c>
      <c r="D27" s="29">
        <v>3.5</v>
      </c>
      <c r="E27" s="69">
        <v>1</v>
      </c>
      <c r="F27" s="29"/>
      <c r="G27" s="29"/>
      <c r="H27" s="29"/>
      <c r="I27" s="30">
        <f>IF($E27=0,0,IFERROR(IF($C27=1,(Индикаторы!H28-Индикаторы!$D28)/(Индикаторы!$E28-Индикаторы!$D28),(Индикаторы!$E28-Индикаторы!H28)/(Индикаторы!$E28-Индикаторы!$D28)),0))</f>
        <v>0</v>
      </c>
      <c r="J27" s="30">
        <f>IF($E27=0,0,IFERROR(IF($C27=1,(Индикаторы!I28-Индикаторы!$D28)/(Индикаторы!$E28-Индикаторы!$D28),(Индикаторы!$E28-Индикаторы!I28)/(Индикаторы!$E28-Индикаторы!$D28)),0))</f>
        <v>0</v>
      </c>
      <c r="K27" s="30">
        <f>IF($E27=0,0,IFERROR(IF($C27=1,(Индикаторы!J28-Индикаторы!$D28)/(Индикаторы!$E28-Индикаторы!$D28),(Индикаторы!$E28-Индикаторы!J28)/(Индикаторы!$E28-Индикаторы!$D28)),0))</f>
        <v>0</v>
      </c>
      <c r="L27" s="30">
        <f>IF($E27=0,0,IFERROR(IF($C27=1,(Индикаторы!K28-Индикаторы!$D28)/(Индикаторы!$E28-Индикаторы!$D28),(Индикаторы!$E28-Индикаторы!K28)/(Индикаторы!$E28-Индикаторы!$D28)),0))</f>
        <v>0</v>
      </c>
      <c r="M27" s="30">
        <f>IF($E27=0,0,IFERROR(IF($C27=1,(Индикаторы!L28-Индикаторы!$D28)/(Индикаторы!$E28-Индикаторы!$D28),(Индикаторы!$E28-Индикаторы!L28)/(Индикаторы!$E28-Индикаторы!$D28)),0))</f>
        <v>0</v>
      </c>
      <c r="N27" s="30">
        <f>IF($E27=0,0,IFERROR(IF($C27=1,(Индикаторы!M28-Индикаторы!$D28)/(Индикаторы!$E28-Индикаторы!$D28),(Индикаторы!$E28-Индикаторы!M28)/(Индикаторы!$E28-Индикаторы!$D28)),0))</f>
        <v>0</v>
      </c>
    </row>
    <row r="28" spans="1:14" s="39" customFormat="1" ht="28.5">
      <c r="A28" s="22"/>
      <c r="B28" s="193" t="s">
        <v>118</v>
      </c>
      <c r="C28" s="193"/>
      <c r="D28" s="195">
        <v>1.5</v>
      </c>
      <c r="E28" s="194"/>
      <c r="F28" s="37"/>
      <c r="G28" s="38"/>
      <c r="H28" s="38"/>
      <c r="I28" s="55">
        <f>SUMPRODUCT($E$29:$E$36,$D$29:$D$36,I29:I36)</f>
        <v>0</v>
      </c>
      <c r="J28" s="55">
        <f t="shared" ref="J28:N28" si="4">SUMPRODUCT($E$29:$E$36,$D$29:$D$36,J29:J36)</f>
        <v>2</v>
      </c>
      <c r="K28" s="55">
        <f t="shared" si="4"/>
        <v>0</v>
      </c>
      <c r="L28" s="55">
        <f t="shared" si="4"/>
        <v>1</v>
      </c>
      <c r="M28" s="55">
        <f t="shared" si="4"/>
        <v>1</v>
      </c>
      <c r="N28" s="55">
        <f t="shared" si="4"/>
        <v>0</v>
      </c>
    </row>
    <row r="29" spans="1:14" s="31" customFormat="1" ht="59.25" customHeight="1">
      <c r="A29" s="29" t="str">
        <f>Индикаторы!A30</f>
        <v>4.1</v>
      </c>
      <c r="B29" s="28" t="str">
        <f>Индикаторы!B30</f>
        <v>Доля руководителей муниципальных учреждений поселения, для которых оплата труда определяется с учетом результатов их профессиональной деятельности</v>
      </c>
      <c r="C29" s="29">
        <v>1</v>
      </c>
      <c r="D29" s="29">
        <v>1.5</v>
      </c>
      <c r="E29" s="69">
        <v>1</v>
      </c>
      <c r="F29" s="29"/>
      <c r="G29" s="29"/>
      <c r="H29" s="29"/>
      <c r="I29" s="30">
        <f>IF($E29=0,0,IFERROR(IF($C29=1,(Индикаторы!H30-Индикаторы!$D30)/(Индикаторы!$E30-Индикаторы!$D30),(Индикаторы!$E30-Индикаторы!H30)/(Индикаторы!$E30-Индикаторы!$D30)),0))</f>
        <v>0</v>
      </c>
      <c r="J29" s="30">
        <f>IF($E29=0,0,IFERROR(IF($C29=1,(Индикаторы!I30-Индикаторы!$D30)/(Индикаторы!$E30-Индикаторы!$D30),(Индикаторы!$E30-Индикаторы!I30)/(Индикаторы!$E30-Индикаторы!$D30)),0))</f>
        <v>0</v>
      </c>
      <c r="K29" s="30">
        <f>IF($E29=0,0,IFERROR(IF($C29=1,(Индикаторы!J30-Индикаторы!$D30)/(Индикаторы!$E30-Индикаторы!$D30),(Индикаторы!$E30-Индикаторы!J30)/(Индикаторы!$E30-Индикаторы!$D30)),0))</f>
        <v>0</v>
      </c>
      <c r="L29" s="30">
        <f>IF($E29=0,0,IFERROR(IF($C29=1,(Индикаторы!K30-Индикаторы!$D30)/(Индикаторы!$E30-Индикаторы!$D30),(Индикаторы!$E30-Индикаторы!K30)/(Индикаторы!$E30-Индикаторы!$D30)),0))</f>
        <v>0</v>
      </c>
      <c r="M29" s="30">
        <f>IF($E29=0,0,IFERROR(IF($C29=1,(Индикаторы!L30-Индикаторы!$D30)/(Индикаторы!$E30-Индикаторы!$D30),(Индикаторы!$E30-Индикаторы!L30)/(Индикаторы!$E30-Индикаторы!$D30)),0))</f>
        <v>0</v>
      </c>
      <c r="N29" s="30">
        <f>IF($E29=0,0,IFERROR(IF($C29=1,(Индикаторы!M30-Индикаторы!$D30)/(Индикаторы!$E30-Индикаторы!$D30),(Индикаторы!$E30-Индикаторы!M30)/(Индикаторы!$E30-Индикаторы!$D30)),0))</f>
        <v>0</v>
      </c>
    </row>
    <row r="30" spans="1:14" s="31" customFormat="1" ht="75">
      <c r="A30" s="29" t="str">
        <f>Индикаторы!A31</f>
        <v>4.2</v>
      </c>
      <c r="B30" s="28" t="str">
        <f>Индикаторы!B31</f>
        <v>Осуществление мониторинга оказания муниципальных услуг (выполнения работ) и формирование планов по решению выявленных проблем в соответствии с нормативным правовым актом поселения в сферах  культуры,  физической культуры и спорта</v>
      </c>
      <c r="C30" s="29"/>
      <c r="D30" s="29">
        <v>1.5</v>
      </c>
      <c r="E30" s="69">
        <v>1</v>
      </c>
      <c r="F30" s="29"/>
      <c r="G30" s="29"/>
      <c r="H30" s="29"/>
      <c r="I30" s="150">
        <f>Индикаторы!H31</f>
        <v>0</v>
      </c>
      <c r="J30" s="150">
        <f>Индикаторы!I31</f>
        <v>0</v>
      </c>
      <c r="K30" s="150">
        <f>Индикаторы!J31</f>
        <v>0</v>
      </c>
      <c r="L30" s="150">
        <f>Индикаторы!K31</f>
        <v>0</v>
      </c>
      <c r="M30" s="150">
        <f>Индикаторы!L31</f>
        <v>0</v>
      </c>
      <c r="N30" s="150">
        <f>Индикаторы!M31</f>
        <v>0</v>
      </c>
    </row>
    <row r="31" spans="1:14" s="31" customFormat="1" ht="75">
      <c r="A31" s="29" t="str">
        <f>Индикаторы!A32</f>
        <v>4.3</v>
      </c>
      <c r="B31" s="28" t="str">
        <f>Индикаторы!B32</f>
        <v>Наличие муниципального правового акта, устанавливающего стандарты предоставления муниципальных услуг (выполнения работ) юридическим и физическим лицам по перечню муниципальных услуг в сферах  культуры, физической культуры и спорта</v>
      </c>
      <c r="C31" s="29"/>
      <c r="D31" s="32">
        <v>1</v>
      </c>
      <c r="E31" s="69">
        <v>1</v>
      </c>
      <c r="F31" s="29"/>
      <c r="G31" s="29"/>
      <c r="H31" s="29"/>
      <c r="I31" s="150">
        <f>Индикаторы!H32</f>
        <v>0</v>
      </c>
      <c r="J31" s="150">
        <f>Индикаторы!I32</f>
        <v>1</v>
      </c>
      <c r="K31" s="150">
        <f>Индикаторы!J32</f>
        <v>0</v>
      </c>
      <c r="L31" s="150">
        <f>Индикаторы!K32</f>
        <v>1</v>
      </c>
      <c r="M31" s="150">
        <f>Индикаторы!L32</f>
        <v>1</v>
      </c>
      <c r="N31" s="150">
        <f>Индикаторы!M32</f>
        <v>0</v>
      </c>
    </row>
    <row r="32" spans="1:14" s="31" customFormat="1" ht="60">
      <c r="A32" s="29" t="str">
        <f>Индикаторы!A33</f>
        <v>4.4</v>
      </c>
      <c r="B32" s="28" t="str">
        <f>Индикаторы!B33</f>
        <v>Доля муниципальных учреждений, для которых установлены количественно измеримые финансовые санкции (штрафы, изъятия) за нарушение условий выполнения  муниципального заданий</v>
      </c>
      <c r="C32" s="29">
        <v>1</v>
      </c>
      <c r="D32" s="29">
        <v>1.5</v>
      </c>
      <c r="E32" s="69">
        <v>1</v>
      </c>
      <c r="F32" s="29"/>
      <c r="G32" s="29"/>
      <c r="H32" s="29"/>
      <c r="I32" s="30">
        <f>IF($E32=0,0,IFERROR(IF($C32=1,(Индикаторы!H33-Индикаторы!$D33)/(Индикаторы!$E33-Индикаторы!$D33),(Индикаторы!$E33-Индикаторы!H33)/(Индикаторы!$E33-Индикаторы!$D33)),0))</f>
        <v>0</v>
      </c>
      <c r="J32" s="30">
        <f>IF($E32=0,0,IFERROR(IF($C32=1,(Индикаторы!I33-Индикаторы!$D33)/(Индикаторы!$E33-Индикаторы!$D33),(Индикаторы!$E33-Индикаторы!I33)/(Индикаторы!$E33-Индикаторы!$D33)),0))</f>
        <v>0</v>
      </c>
      <c r="K32" s="30">
        <f>IF($E32=0,0,IFERROR(IF($C32=1,(Индикаторы!J33-Индикаторы!$D33)/(Индикаторы!$E33-Индикаторы!$D33),(Индикаторы!$E33-Индикаторы!J33)/(Индикаторы!$E33-Индикаторы!$D33)),0))</f>
        <v>0</v>
      </c>
      <c r="L32" s="30">
        <f>IF($E32=0,0,IFERROR(IF($C32=1,(Индикаторы!K33-Индикаторы!$D33)/(Индикаторы!$E33-Индикаторы!$D33),(Индикаторы!$E33-Индикаторы!K33)/(Индикаторы!$E33-Индикаторы!$D33)),0))</f>
        <v>0</v>
      </c>
      <c r="M32" s="30">
        <f>IF($E32=0,0,IFERROR(IF($C32=1,(Индикаторы!L33-Индикаторы!$D33)/(Индикаторы!$E33-Индикаторы!$D33),(Индикаторы!$E33-Индикаторы!L33)/(Индикаторы!$E33-Индикаторы!$D33)),0))</f>
        <v>0</v>
      </c>
      <c r="N32" s="30">
        <f>IF($E32=0,0,IFERROR(IF($C32=1,(Индикаторы!M33-Индикаторы!$D33)/(Индикаторы!$E33-Индикаторы!$D33),(Индикаторы!$E33-Индикаторы!M33)/(Индикаторы!$E33-Индикаторы!$D33)),0))</f>
        <v>0</v>
      </c>
    </row>
    <row r="33" spans="1:14" s="31" customFormat="1" ht="60">
      <c r="A33" s="29" t="str">
        <f>Индикаторы!A34</f>
        <v>4.5</v>
      </c>
      <c r="B33" s="28" t="str">
        <f>Индикаторы!B34</f>
        <v>Удельный вес муниципальных учреждений, выполнивших муниципальное задание на 100%, в общем количестве муниципальных учреждений поселения, которым установлены муниципальные задания</v>
      </c>
      <c r="C33" s="29">
        <v>1</v>
      </c>
      <c r="D33" s="32">
        <v>1</v>
      </c>
      <c r="E33" s="69">
        <v>1</v>
      </c>
      <c r="F33" s="29"/>
      <c r="G33" s="29"/>
      <c r="H33" s="29"/>
      <c r="I33" s="30">
        <f>IF($E33=0,0,IFERROR(IF($C33=1,(Индикаторы!H34-Индикаторы!$D34)/(Индикаторы!$E34-Индикаторы!$D34),(Индикаторы!$E34-Индикаторы!H34)/(Индикаторы!$E34-Индикаторы!$D34)),0))</f>
        <v>0</v>
      </c>
      <c r="J33" s="30">
        <f>IF($E33=0,0,IFERROR(IF($C33=1,(Индикаторы!I34-Индикаторы!$D34)/(Индикаторы!$E34-Индикаторы!$D34),(Индикаторы!$E34-Индикаторы!I34)/(Индикаторы!$E34-Индикаторы!$D34)),0))</f>
        <v>0</v>
      </c>
      <c r="K33" s="30">
        <f>IF($E33=0,0,IFERROR(IF($C33=1,(Индикаторы!J34-Индикаторы!$D34)/(Индикаторы!$E34-Индикаторы!$D34),(Индикаторы!$E34-Индикаторы!J34)/(Индикаторы!$E34-Индикаторы!$D34)),0))</f>
        <v>0</v>
      </c>
      <c r="L33" s="30">
        <f>IF($E33=0,0,IFERROR(IF($C33=1,(Индикаторы!K34-Индикаторы!$D34)/(Индикаторы!$E34-Индикаторы!$D34),(Индикаторы!$E34-Индикаторы!K34)/(Индикаторы!$E34-Индикаторы!$D34)),0))</f>
        <v>0</v>
      </c>
      <c r="M33" s="30">
        <f>IF($E33=0,0,IFERROR(IF($C33=1,(Индикаторы!L34-Индикаторы!$D34)/(Индикаторы!$E34-Индикаторы!$D34),(Индикаторы!$E34-Индикаторы!L34)/(Индикаторы!$E34-Индикаторы!$D34)),0))</f>
        <v>0</v>
      </c>
      <c r="N33" s="30">
        <f>IF($E33=0,0,IFERROR(IF($C33=1,(Индикаторы!M34-Индикаторы!$D34)/(Индикаторы!$E34-Индикаторы!$D34),(Индикаторы!$E34-Индикаторы!M34)/(Индикаторы!$E34-Индикаторы!$D34)),0))</f>
        <v>0</v>
      </c>
    </row>
    <row r="34" spans="1:14" s="31" customFormat="1" ht="45">
      <c r="A34" s="29" t="str">
        <f>Индикаторы!A35</f>
        <v>4.6</v>
      </c>
      <c r="B34" s="28" t="str">
        <f>Индикаторы!B35</f>
        <v>Изучение мнения населения о качестве оказания муниципальных услуг (выполнения работ) в соответствии с установленным порядком</v>
      </c>
      <c r="C34" s="29"/>
      <c r="D34" s="32">
        <v>1</v>
      </c>
      <c r="E34" s="69">
        <v>1</v>
      </c>
      <c r="F34" s="29"/>
      <c r="G34" s="29"/>
      <c r="H34" s="29"/>
      <c r="I34" s="150">
        <f>Индикаторы!H35</f>
        <v>0</v>
      </c>
      <c r="J34" s="150">
        <f>Индикаторы!I35</f>
        <v>0</v>
      </c>
      <c r="K34" s="150">
        <f>Индикаторы!J35</f>
        <v>0</v>
      </c>
      <c r="L34" s="150">
        <f>Индикаторы!K35</f>
        <v>0</v>
      </c>
      <c r="M34" s="150">
        <f>Индикаторы!L35</f>
        <v>0</v>
      </c>
      <c r="N34" s="150">
        <f>Индикаторы!M35</f>
        <v>0</v>
      </c>
    </row>
    <row r="35" spans="1:14" s="31" customFormat="1" ht="60">
      <c r="A35" s="29" t="str">
        <f>Индикаторы!A36</f>
        <v>4.7</v>
      </c>
      <c r="B35" s="160" t="str">
        <f>Индикаторы!B36</f>
        <v>Наличие муниципальных правовых актов, устанавливающих нормативы финансовых затрат на предоставление муниципальных услуг (выполнение работ) в сферах культуры,  физической культуры и спорта</v>
      </c>
      <c r="C35" s="29"/>
      <c r="D35" s="32">
        <v>1</v>
      </c>
      <c r="E35" s="69">
        <v>1</v>
      </c>
      <c r="F35" s="29"/>
      <c r="G35" s="29"/>
      <c r="H35" s="29"/>
      <c r="I35" s="150">
        <f>Индикаторы!H36</f>
        <v>0</v>
      </c>
      <c r="J35" s="150">
        <f>Индикаторы!I36</f>
        <v>1</v>
      </c>
      <c r="K35" s="150">
        <f>Индикаторы!J36</f>
        <v>0</v>
      </c>
      <c r="L35" s="150">
        <f>Индикаторы!K36</f>
        <v>0</v>
      </c>
      <c r="M35" s="150">
        <f>Индикаторы!L36</f>
        <v>0</v>
      </c>
      <c r="N35" s="150">
        <f>Индикаторы!M36</f>
        <v>0</v>
      </c>
    </row>
    <row r="36" spans="1:14" s="31" customFormat="1" ht="75">
      <c r="A36" s="29" t="str">
        <f>Индикаторы!A37</f>
        <v>4.8</v>
      </c>
      <c r="B36" s="160" t="str">
        <f>Индикаторы!B37</f>
        <v>Доля бюджетных расходов на финансовое обеспечение оказания бюджетными и автономными учреждениями муниципальных услуг (выполнения работ), рассчитанных исходя из нормативов финансовых затрат в сферах  культуры, физической культуры и спорта</v>
      </c>
      <c r="C36" s="29">
        <v>1</v>
      </c>
      <c r="D36" s="29">
        <v>1.5</v>
      </c>
      <c r="E36" s="161">
        <v>1</v>
      </c>
      <c r="F36" s="148"/>
      <c r="G36" s="29"/>
      <c r="H36" s="29"/>
      <c r="I36" s="30">
        <f>IF($E36=0,0,IFERROR(IF($C36=1,(Индикаторы!H37-Индикаторы!$D37)/(Индикаторы!$E37-Индикаторы!$D37),(Индикаторы!$E37-Индикаторы!H37)/(Индикаторы!$E37-Индикаторы!$D37)),0))</f>
        <v>0</v>
      </c>
      <c r="J36" s="30">
        <f>IF($E36=0,0,IFERROR(IF($C36=1,(Индикаторы!I37-Индикаторы!$D37)/(Индикаторы!$E37-Индикаторы!$D37),(Индикаторы!$E37-Индикаторы!I37)/(Индикаторы!$E37-Индикаторы!$D37)),0))</f>
        <v>0</v>
      </c>
      <c r="K36" s="30">
        <f>IF($E36=0,0,IFERROR(IF($C36=1,(Индикаторы!J37-Индикаторы!$D37)/(Индикаторы!$E37-Индикаторы!$D37),(Индикаторы!$E37-Индикаторы!J37)/(Индикаторы!$E37-Индикаторы!$D37)),0))</f>
        <v>0</v>
      </c>
      <c r="L36" s="30">
        <f>IF($E36=0,0,IFERROR(IF($C36=1,(Индикаторы!K37-Индикаторы!$D37)/(Индикаторы!$E37-Индикаторы!$D37),(Индикаторы!$E37-Индикаторы!K37)/(Индикаторы!$E37-Индикаторы!$D37)),0))</f>
        <v>0</v>
      </c>
      <c r="M36" s="30">
        <f>IF($E36=0,0,IFERROR(IF($C36=1,(Индикаторы!L37-Индикаторы!$D37)/(Индикаторы!$E37-Индикаторы!$D37),(Индикаторы!$E37-Индикаторы!L37)/(Индикаторы!$E37-Индикаторы!$D37)),0))</f>
        <v>0</v>
      </c>
      <c r="N36" s="30">
        <f>IF($E36=0,0,IFERROR(IF($C36=1,(Индикаторы!M37-Индикаторы!$D37)/(Индикаторы!$E37-Индикаторы!$D37),(Индикаторы!$E37-Индикаторы!M37)/(Индикаторы!$E37-Индикаторы!$D37)),0))</f>
        <v>0</v>
      </c>
    </row>
    <row r="37" spans="1:14" s="39" customFormat="1">
      <c r="A37" s="22"/>
      <c r="B37" s="193" t="s">
        <v>93</v>
      </c>
      <c r="C37" s="196"/>
      <c r="D37" s="195">
        <v>1</v>
      </c>
      <c r="E37" s="196"/>
      <c r="F37" s="37"/>
      <c r="G37" s="38"/>
      <c r="H37" s="38"/>
      <c r="I37" s="55">
        <f t="shared" ref="I37:N37" si="5">SUMPRODUCT($E$38:$E$45,$D$38:$D$45,I38:I45)</f>
        <v>9</v>
      </c>
      <c r="J37" s="55">
        <f t="shared" si="5"/>
        <v>10</v>
      </c>
      <c r="K37" s="55">
        <f t="shared" si="5"/>
        <v>8</v>
      </c>
      <c r="L37" s="55">
        <f t="shared" si="5"/>
        <v>8.5</v>
      </c>
      <c r="M37" s="55">
        <f t="shared" si="5"/>
        <v>7</v>
      </c>
      <c r="N37" s="55">
        <f t="shared" si="5"/>
        <v>4</v>
      </c>
    </row>
    <row r="38" spans="1:14" s="31" customFormat="1" ht="45">
      <c r="A38" s="29" t="str">
        <f>Индикаторы!A39</f>
        <v>5.1</v>
      </c>
      <c r="B38" s="28" t="str">
        <f>Индикаторы!B39</f>
        <v>Размещение на официальном сайте органов местного самоуправления решения о бюджете, отчета об исполнении бюджета за отчетный финансовый год</v>
      </c>
      <c r="C38" s="29"/>
      <c r="D38" s="29">
        <v>1.5</v>
      </c>
      <c r="E38" s="69">
        <v>1</v>
      </c>
      <c r="F38" s="29"/>
      <c r="G38" s="29"/>
      <c r="H38" s="29"/>
      <c r="I38" s="150">
        <f>Индикаторы!H39</f>
        <v>1</v>
      </c>
      <c r="J38" s="150">
        <f>Индикаторы!I39</f>
        <v>1</v>
      </c>
      <c r="K38" s="150">
        <f>Индикаторы!J39</f>
        <v>1</v>
      </c>
      <c r="L38" s="150">
        <f>Индикаторы!K39</f>
        <v>1</v>
      </c>
      <c r="M38" s="150">
        <f>Индикаторы!L39</f>
        <v>1</v>
      </c>
      <c r="N38" s="150">
        <f>Индикаторы!M39</f>
        <v>1</v>
      </c>
    </row>
    <row r="39" spans="1:14" s="31" customFormat="1" ht="45">
      <c r="A39" s="29" t="str">
        <f>Индикаторы!A40</f>
        <v>5.2</v>
      </c>
      <c r="B39" s="28" t="str">
        <f>Индикаторы!B40</f>
        <v>Ежемесячное размещение на официальном сайте органов местного самоуправления отчетов об исполнении бюджета поселения за отчетный финансовый год</v>
      </c>
      <c r="C39" s="29"/>
      <c r="D39" s="32">
        <v>1</v>
      </c>
      <c r="E39" s="69">
        <v>1</v>
      </c>
      <c r="F39" s="29"/>
      <c r="G39" s="29"/>
      <c r="H39" s="29"/>
      <c r="I39" s="150">
        <f>Индикаторы!H40</f>
        <v>1</v>
      </c>
      <c r="J39" s="150">
        <f>Индикаторы!I40</f>
        <v>1</v>
      </c>
      <c r="K39" s="150">
        <f>Индикаторы!J40</f>
        <v>0</v>
      </c>
      <c r="L39" s="150">
        <f>Индикаторы!K40</f>
        <v>1</v>
      </c>
      <c r="M39" s="150">
        <f>Индикаторы!L40</f>
        <v>1</v>
      </c>
      <c r="N39" s="150">
        <f>Индикаторы!M40</f>
        <v>0</v>
      </c>
    </row>
    <row r="40" spans="1:14" s="31" customFormat="1" ht="60">
      <c r="A40" s="29" t="str">
        <f>Индикаторы!A41</f>
        <v>5.3</v>
      </c>
      <c r="B40" s="28" t="str">
        <f>Индикаторы!B41</f>
        <v>Размещение муниципальных правовых актов, документов и материалов, указанных в пунктах 1.4, 2.10, 4.2, 4.3, 4.6, 4.7, 5.5 настоящей Таблицы, на официальных сайтах органов местного самоуправления</v>
      </c>
      <c r="C40" s="29">
        <v>1</v>
      </c>
      <c r="D40" s="29">
        <v>1.5</v>
      </c>
      <c r="E40" s="69">
        <v>1</v>
      </c>
      <c r="F40" s="29"/>
      <c r="G40" s="29"/>
      <c r="H40" s="29"/>
      <c r="I40" s="30">
        <f>IF($E40=0,0,IFERROR(IF($C40=1,(Индикаторы!H41-Индикаторы!$D41)/(Индикаторы!$E41-Индикаторы!$D41),(Индикаторы!$E41-Индикаторы!H41)/(Индикаторы!$E41-Индикаторы!$D41)),0))</f>
        <v>0.33333333333333331</v>
      </c>
      <c r="J40" s="30">
        <f>IF($E40=0,0,IFERROR(IF($C40=1,(Индикаторы!I41-Индикаторы!$D41)/(Индикаторы!$E41-Индикаторы!$D41),(Индикаторы!$E41-Индикаторы!I41)/(Индикаторы!$E41-Индикаторы!$D41)),0))</f>
        <v>1</v>
      </c>
      <c r="K40" s="30">
        <f>IF($E40=0,0,IFERROR(IF($C40=1,(Индикаторы!J41-Индикаторы!$D41)/(Индикаторы!$E41-Индикаторы!$D41),(Индикаторы!$E41-Индикаторы!J41)/(Индикаторы!$E41-Индикаторы!$D41)),0))</f>
        <v>0.33333333333333331</v>
      </c>
      <c r="L40" s="30">
        <f>IF($E40=0,0,IFERROR(IF($C40=1,(Индикаторы!K41-Индикаторы!$D41)/(Индикаторы!$E41-Индикаторы!$D41),(Индикаторы!$E41-Индикаторы!K41)/(Индикаторы!$E41-Индикаторы!$D41)),0))</f>
        <v>0.66666666666666663</v>
      </c>
      <c r="M40" s="30">
        <f>IF($E40=0,0,IFERROR(IF($C40=1,(Индикаторы!L41-Индикаторы!$D41)/(Индикаторы!$E41-Индикаторы!$D41),(Индикаторы!$E41-Индикаторы!L41)/(Индикаторы!$E41-Индикаторы!$D41)),0))</f>
        <v>0.66666666666666663</v>
      </c>
      <c r="N40" s="30">
        <f>IF($E40=0,0,IFERROR(IF($C40=1,(Индикаторы!M41-Индикаторы!$D41)/(Индикаторы!$E41-Индикаторы!$D41),(Индикаторы!$E41-Индикаторы!M41)/(Индикаторы!$E41-Индикаторы!$D41)),0))</f>
        <v>0</v>
      </c>
    </row>
    <row r="41" spans="1:14" s="31" customFormat="1" ht="75">
      <c r="A41" s="29" t="str">
        <f>Индикаторы!A42</f>
        <v>5.4</v>
      </c>
      <c r="B41" s="28" t="str">
        <f>Индикаторы!B42</f>
        <v>Размещение на официальном сайте органов местного самоуправления проектов нормативных правовых актов поселения в соответствии с порядком проведения независимой антикоррупционной экспертизы за отчетный финансовый год</v>
      </c>
      <c r="C41" s="29"/>
      <c r="D41" s="29">
        <v>1.5</v>
      </c>
      <c r="E41" s="69">
        <v>1</v>
      </c>
      <c r="F41" s="29"/>
      <c r="G41" s="29"/>
      <c r="H41" s="29"/>
      <c r="I41" s="150">
        <f>Индикаторы!H42</f>
        <v>1</v>
      </c>
      <c r="J41" s="150">
        <f>Индикаторы!I42</f>
        <v>1</v>
      </c>
      <c r="K41" s="150">
        <f>Индикаторы!J42</f>
        <v>1</v>
      </c>
      <c r="L41" s="150">
        <f>Индикаторы!K42</f>
        <v>1</v>
      </c>
      <c r="M41" s="150">
        <f>Индикаторы!L42</f>
        <v>0</v>
      </c>
      <c r="N41" s="150">
        <f>Индикаторы!M42</f>
        <v>1</v>
      </c>
    </row>
    <row r="42" spans="1:14" s="31" customFormat="1" ht="60">
      <c r="A42" s="29" t="str">
        <f>Индикаторы!A43</f>
        <v>5.5</v>
      </c>
      <c r="B42" s="28" t="str">
        <f>Индикаторы!B43</f>
        <v>Проведение публичных слушаний по проекту бюджета поселения и проекту отчета об исполнении бюджета поселения в соответствии с установленным порядком за отчетный финансовый год</v>
      </c>
      <c r="C42" s="29"/>
      <c r="D42" s="29">
        <v>1.5</v>
      </c>
      <c r="E42" s="69">
        <v>1</v>
      </c>
      <c r="F42" s="29"/>
      <c r="G42" s="29"/>
      <c r="H42" s="29"/>
      <c r="I42" s="150">
        <f>Индикаторы!H43</f>
        <v>1</v>
      </c>
      <c r="J42" s="150">
        <f>Индикаторы!I43</f>
        <v>1</v>
      </c>
      <c r="K42" s="150">
        <f>Индикаторы!J43</f>
        <v>1</v>
      </c>
      <c r="L42" s="150">
        <f>Индикаторы!K43</f>
        <v>1</v>
      </c>
      <c r="M42" s="150">
        <f>Индикаторы!L43</f>
        <v>1</v>
      </c>
      <c r="N42" s="150">
        <f>Индикаторы!M43</f>
        <v>0</v>
      </c>
    </row>
    <row r="43" spans="1:14" s="31" customFormat="1" ht="90">
      <c r="A43" s="29" t="str">
        <f>Индикаторы!A44</f>
        <v>5.6</v>
      </c>
      <c r="B43" s="28" t="str">
        <f>Индикаторы!B44</f>
        <v>Размещение на официальном сайте органов местного самоуправления информации о муниципальных программах поселения и фактических результатах их реализации, а также о соответствии целей и задач этих программ стратегии либо программе социально-экономического развития поселения за отчетный финансовый год</v>
      </c>
      <c r="C43" s="29"/>
      <c r="D43" s="32">
        <v>1</v>
      </c>
      <c r="E43" s="69">
        <v>1</v>
      </c>
      <c r="F43" s="29"/>
      <c r="G43" s="29"/>
      <c r="H43" s="29"/>
      <c r="I43" s="150">
        <f>Индикаторы!H44</f>
        <v>1</v>
      </c>
      <c r="J43" s="150">
        <f>Индикаторы!I44</f>
        <v>1</v>
      </c>
      <c r="K43" s="150">
        <f>Индикаторы!J44</f>
        <v>1</v>
      </c>
      <c r="L43" s="150">
        <f>Индикаторы!K44</f>
        <v>1</v>
      </c>
      <c r="M43" s="150">
        <f>Индикаторы!L44</f>
        <v>1</v>
      </c>
      <c r="N43" s="150">
        <f>Индикаторы!M44</f>
        <v>0</v>
      </c>
    </row>
    <row r="44" spans="1:14" s="31" customFormat="1" ht="45">
      <c r="A44" s="29" t="str">
        <f>Индикаторы!A45</f>
        <v>5.7</v>
      </c>
      <c r="B44" s="28" t="str">
        <f>Индикаторы!B45</f>
        <v>Своевременность, объекивность и достоверность представления бюджетной отчетности в Комитет по финансам за отчетный финансовый год</v>
      </c>
      <c r="C44" s="29"/>
      <c r="D44" s="32">
        <v>1</v>
      </c>
      <c r="E44" s="69">
        <v>1</v>
      </c>
      <c r="F44" s="29"/>
      <c r="G44" s="29"/>
      <c r="H44" s="29"/>
      <c r="I44" s="150">
        <f>Индикаторы!H45</f>
        <v>1</v>
      </c>
      <c r="J44" s="150">
        <f>Индикаторы!I45</f>
        <v>1</v>
      </c>
      <c r="K44" s="150">
        <f>Индикаторы!J45</f>
        <v>1</v>
      </c>
      <c r="L44" s="150">
        <f>Индикаторы!K45</f>
        <v>1</v>
      </c>
      <c r="M44" s="150">
        <f>Индикаторы!L45</f>
        <v>1</v>
      </c>
      <c r="N44" s="150">
        <f>Индикаторы!M45</f>
        <v>1</v>
      </c>
    </row>
    <row r="45" spans="1:14" ht="45">
      <c r="A45" s="185" t="str">
        <f>Индикаторы!A46</f>
        <v>5.8</v>
      </c>
      <c r="B45" s="186" t="str">
        <f>Индикаторы!B46</f>
        <v>Наличие на официальном сайте органов местного самоуправления информационного ресурса (брошюры) «Бюджет для граждан» за отчетный финансовый год</v>
      </c>
      <c r="C45" s="187"/>
      <c r="D45" s="200">
        <v>1</v>
      </c>
      <c r="E45" s="188">
        <v>1</v>
      </c>
      <c r="I45" s="189">
        <f>Индикаторы!H46</f>
        <v>1</v>
      </c>
      <c r="J45" s="189">
        <f>Индикаторы!I46</f>
        <v>1</v>
      </c>
      <c r="K45" s="189">
        <f>Индикаторы!J46</f>
        <v>1</v>
      </c>
      <c r="L45" s="189">
        <f>Индикаторы!K46</f>
        <v>0</v>
      </c>
      <c r="M45" s="189">
        <f>Индикаторы!L46</f>
        <v>0</v>
      </c>
      <c r="N45" s="189">
        <f>Индикаторы!M46</f>
        <v>0</v>
      </c>
    </row>
    <row r="46" spans="1:14" ht="85.5" hidden="1">
      <c r="A46" s="22"/>
      <c r="B46" s="193" t="s">
        <v>130</v>
      </c>
      <c r="C46" s="197"/>
      <c r="D46" s="198">
        <v>1.25</v>
      </c>
      <c r="E46" s="197"/>
      <c r="F46" s="199"/>
      <c r="G46" s="199"/>
      <c r="H46" s="199"/>
      <c r="I46" s="55">
        <f>SUMPRODUCT($E$47:$E$50,$D$47:$D$50,I47:I50)</f>
        <v>0</v>
      </c>
      <c r="J46" s="55">
        <f t="shared" ref="J46:N46" si="6">SUMPRODUCT($E$47:$E$50,$D$47:$D$50,J47:J50)</f>
        <v>0</v>
      </c>
      <c r="K46" s="55">
        <f t="shared" si="6"/>
        <v>0</v>
      </c>
      <c r="L46" s="55">
        <f t="shared" si="6"/>
        <v>0</v>
      </c>
      <c r="M46" s="55">
        <f t="shared" si="6"/>
        <v>0</v>
      </c>
      <c r="N46" s="55">
        <f t="shared" si="6"/>
        <v>0</v>
      </c>
    </row>
    <row r="47" spans="1:14" ht="165" hidden="1">
      <c r="A47" s="27" t="str">
        <f>Индикаторы!A48</f>
        <v>6.1</v>
      </c>
      <c r="B47" s="192" t="str">
        <f>Индикаторы!B48</f>
        <v>Достижение муниципальным образованием автономного округа целевого значения показателя по средней заработной плате работников муниципальных учреждений культуры, в соответствии с целевым значением, установленным Департаментом культуры автономного округа для i-муниципального образования (с учётом муниципальной специфики), в целях реализации регионального Плана мероприятий («дорожной карты) «Изменения в отраслях социальной сферы, направленные на повышение эффективности сферы культуры в Ханты-Мансийском автономном округе – Югре»</v>
      </c>
      <c r="C47" s="184"/>
      <c r="D47" s="29">
        <v>2.5</v>
      </c>
      <c r="E47" s="69">
        <v>1</v>
      </c>
      <c r="F47" s="190"/>
      <c r="G47" s="190"/>
      <c r="H47" s="190"/>
      <c r="I47" s="189">
        <f>Индикаторы!H48</f>
        <v>0</v>
      </c>
      <c r="J47" s="189">
        <f>Индикаторы!I48</f>
        <v>0</v>
      </c>
      <c r="K47" s="189">
        <f>Индикаторы!J48</f>
        <v>0</v>
      </c>
      <c r="L47" s="189">
        <f>Индикаторы!K48</f>
        <v>0</v>
      </c>
      <c r="M47" s="189">
        <f>Индикаторы!L48</f>
        <v>0</v>
      </c>
      <c r="N47" s="189">
        <f>Индикаторы!M48</f>
        <v>0</v>
      </c>
    </row>
    <row r="48" spans="1:14" ht="195" hidden="1">
      <c r="A48" s="27" t="str">
        <f>Индикаторы!A49</f>
        <v>6.2</v>
      </c>
      <c r="B48" s="192" t="str">
        <f>Индикаторы!B49</f>
        <v>Достижение муниципальным образованием автономного округа целевого значения показателя по средней заработной плате педагогических работников муниципальных образовательных организаций дополнительного образования детей, в соответствии с целевым значением, установленным Департаментом образования и молодёжной политики автономного округа для i-муниципального образования (с учётом муниципальной специфики), в целях реализации регионального Плана мероприятий («дорожной карты) «Изменения в отраслях социальной сферы, направленные на повышение эффективности сферы образования и науки в Ханты-Мансийском автономном округе – Югре»</v>
      </c>
      <c r="C48" s="184"/>
      <c r="D48" s="29">
        <v>2.5</v>
      </c>
      <c r="E48" s="69">
        <v>1</v>
      </c>
      <c r="F48" s="190"/>
      <c r="G48" s="190"/>
      <c r="H48" s="190"/>
      <c r="I48" s="189">
        <f>Индикаторы!H49</f>
        <v>0</v>
      </c>
      <c r="J48" s="189">
        <f>Индикаторы!I49</f>
        <v>0</v>
      </c>
      <c r="K48" s="189">
        <f>Индикаторы!J49</f>
        <v>0</v>
      </c>
      <c r="L48" s="189">
        <f>Индикаторы!K49</f>
        <v>0</v>
      </c>
      <c r="M48" s="189">
        <f>Индикаторы!L49</f>
        <v>0</v>
      </c>
      <c r="N48" s="189">
        <f>Индикаторы!M49</f>
        <v>0</v>
      </c>
    </row>
    <row r="49" spans="1:14" ht="180" hidden="1">
      <c r="A49" s="27" t="str">
        <f>Индикаторы!A50</f>
        <v>6.3</v>
      </c>
      <c r="B49" s="192" t="str">
        <f>Индикаторы!B50</f>
        <v>Достижение муниципальным образованием автономного округа целевого значения показателя по средней заработной плате педагогических работников муниципальных дошкольных образовательных организаций, в соответствии с целевым значением, установленным Департаментом образования и молодёжной политики автономного округа для i-муниципального образования (с учётом муниципальной специфики), в целях реализации регионального Плана мероприятий («дорожной карты) «Изменения в отраслях социальной сферы, направленные на повышение эффективности сферы образования и науки в Ханты-Мансийском автономном округе – Югре»</v>
      </c>
      <c r="C49" s="184"/>
      <c r="D49" s="29">
        <v>2.5</v>
      </c>
      <c r="E49" s="69">
        <v>1</v>
      </c>
      <c r="F49" s="190"/>
      <c r="G49" s="190"/>
      <c r="H49" s="190"/>
      <c r="I49" s="189">
        <f>Индикаторы!H50</f>
        <v>0</v>
      </c>
      <c r="J49" s="189">
        <f>Индикаторы!I50</f>
        <v>0</v>
      </c>
      <c r="K49" s="189">
        <f>Индикаторы!J50</f>
        <v>0</v>
      </c>
      <c r="L49" s="189">
        <f>Индикаторы!K50</f>
        <v>0</v>
      </c>
      <c r="M49" s="189">
        <f>Индикаторы!L50</f>
        <v>0</v>
      </c>
      <c r="N49" s="189">
        <f>Индикаторы!M50</f>
        <v>0</v>
      </c>
    </row>
    <row r="50" spans="1:14" ht="180" hidden="1">
      <c r="A50" s="27" t="str">
        <f>Индикаторы!A51</f>
        <v>6.4</v>
      </c>
      <c r="B50" s="192" t="str">
        <f>Индикаторы!B51</f>
        <v>Достижение муниципальным образованием автономного округа целевого значения показателя по средней заработной плате педагогических работников муниципальных общеобразовательных организаций, в соответствии с целевым значением, установленным Департаментом образования и молодёжной политики автономного округа для i-муниципального образования (с учётом муниципальной специфики), в целях реализации регионального Плана мероприятий («дорожной карты) «Изменения в отраслях социальной сферы, направленные на повышение эффективности сферы образования и науки в Ханты-Мансийском автономном округе – Югре»</v>
      </c>
      <c r="C50" s="169"/>
      <c r="D50" s="29">
        <v>2.5</v>
      </c>
      <c r="E50" s="69">
        <v>1</v>
      </c>
      <c r="F50" s="190"/>
      <c r="G50" s="190"/>
      <c r="H50" s="190"/>
      <c r="I50" s="150">
        <f>Индикаторы!H51</f>
        <v>0</v>
      </c>
      <c r="J50" s="150">
        <f>Индикаторы!I51</f>
        <v>0</v>
      </c>
      <c r="K50" s="150">
        <f>Индикаторы!J51</f>
        <v>0</v>
      </c>
      <c r="L50" s="150">
        <f>Индикаторы!K51</f>
        <v>0</v>
      </c>
      <c r="M50" s="150">
        <f>Индикаторы!L51</f>
        <v>0</v>
      </c>
      <c r="N50" s="150">
        <f>Индикаторы!M51</f>
        <v>0</v>
      </c>
    </row>
  </sheetData>
  <autoFilter ref="A4:N45"/>
  <customSheetViews>
    <customSheetView guid="{8ABC692A-193F-4EA9-A7E8-F3C636A6C39C}" scale="90" showPageBreaks="1" showAutoFilter="1" hiddenColumns="1">
      <pane xSplit="2" ySplit="4" topLeftCell="C47" activePane="bottomRight" state="frozen"/>
      <selection pane="bottomRight" activeCell="D28" sqref="D28"/>
      <pageMargins left="0" right="0.17" top="0" bottom="0" header="0" footer="0"/>
      <pageSetup paperSize="8" scale="55" fitToHeight="0" orientation="landscape" r:id="rId1"/>
      <autoFilter ref="A4:AD44"/>
    </customSheetView>
    <customSheetView guid="{147A8583-3101-4745-816E-6D404CE92D5B}" scale="90" showPageBreaks="1" showAutoFilter="1" hiddenColumns="1">
      <pane xSplit="2" ySplit="4" topLeftCell="C5" activePane="bottomRight" state="frozen"/>
      <selection pane="bottomRight" activeCell="C3" sqref="C3"/>
      <pageMargins left="0" right="0.17" top="0" bottom="0" header="0" footer="0"/>
      <pageSetup paperSize="8" scale="55" fitToHeight="0" orientation="landscape" r:id="rId2"/>
      <autoFilter ref="A4:AD44"/>
    </customSheetView>
  </customSheetViews>
  <mergeCells count="1">
    <mergeCell ref="B2:N2"/>
  </mergeCells>
  <pageMargins left="0.61" right="0.15748031496062992" top="0.61" bottom="0" header="0" footer="0"/>
  <pageSetup paperSize="9" scale="55" fitToHeight="0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9"/>
  <dimension ref="A3:M51"/>
  <sheetViews>
    <sheetView zoomScale="75" zoomScaleNormal="75" workbookViewId="0">
      <pane xSplit="2" ySplit="7" topLeftCell="C41" activePane="bottomRight" state="frozen"/>
      <selection pane="topRight" activeCell="C1" sqref="C1"/>
      <selection pane="bottomLeft" activeCell="A8" sqref="A8"/>
      <selection pane="bottomRight" activeCell="J44" sqref="J44"/>
    </sheetView>
  </sheetViews>
  <sheetFormatPr defaultRowHeight="15"/>
  <cols>
    <col min="1" max="1" width="6" style="2" customWidth="1"/>
    <col min="2" max="2" width="53" customWidth="1"/>
    <col min="3" max="3" width="45.140625" customWidth="1"/>
    <col min="4" max="4" width="14.42578125" customWidth="1"/>
    <col min="5" max="5" width="16.28515625" customWidth="1"/>
    <col min="6" max="6" width="11.42578125" customWidth="1"/>
    <col min="7" max="7" width="10.85546875" customWidth="1"/>
    <col min="8" max="8" width="11.5703125" customWidth="1"/>
    <col min="9" max="9" width="10" customWidth="1"/>
    <col min="10" max="10" width="15.28515625" customWidth="1"/>
    <col min="11" max="11" width="11.7109375" customWidth="1"/>
    <col min="12" max="12" width="11.28515625" customWidth="1"/>
    <col min="13" max="13" width="12.7109375" customWidth="1"/>
  </cols>
  <sheetData>
    <row r="3" spans="1:13" ht="18.75">
      <c r="B3" s="246" t="s">
        <v>245</v>
      </c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</row>
    <row r="5" spans="1:13" ht="47.25">
      <c r="A5" s="3" t="s">
        <v>0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24</v>
      </c>
      <c r="G5" s="3" t="s">
        <v>25</v>
      </c>
      <c r="H5" s="61" t="s">
        <v>145</v>
      </c>
      <c r="I5" s="61" t="s">
        <v>146</v>
      </c>
      <c r="J5" s="61" t="s">
        <v>147</v>
      </c>
      <c r="K5" s="61" t="s">
        <v>148</v>
      </c>
      <c r="L5" s="61" t="s">
        <v>149</v>
      </c>
      <c r="M5" s="61" t="s">
        <v>150</v>
      </c>
    </row>
    <row r="6" spans="1:13" ht="15.75" hidden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s="13" customFormat="1" ht="15.75">
      <c r="A7" s="10"/>
      <c r="B7" s="11" t="s">
        <v>21</v>
      </c>
      <c r="C7" s="11"/>
      <c r="D7" s="11"/>
      <c r="E7" s="11"/>
      <c r="F7" s="11"/>
      <c r="G7" s="11"/>
      <c r="H7" s="12"/>
      <c r="I7" s="12"/>
      <c r="J7" s="12"/>
      <c r="K7" s="12"/>
      <c r="L7" s="12"/>
      <c r="M7" s="12"/>
    </row>
    <row r="8" spans="1:13" s="7" customFormat="1" ht="66" customHeight="1">
      <c r="A8" s="14" t="s">
        <v>26</v>
      </c>
      <c r="B8" s="159" t="s">
        <v>151</v>
      </c>
      <c r="C8" s="6" t="s">
        <v>220</v>
      </c>
      <c r="D8" s="151">
        <v>0</v>
      </c>
      <c r="E8" s="151">
        <v>1</v>
      </c>
      <c r="F8" s="4">
        <f>MIN($H8:$M8)</f>
        <v>1</v>
      </c>
      <c r="G8" s="4">
        <f>MAX($H8:$M8)</f>
        <v>1</v>
      </c>
      <c r="H8" s="9">
        <f>Данные!F6</f>
        <v>1</v>
      </c>
      <c r="I8" s="9">
        <f>Данные!G6</f>
        <v>1</v>
      </c>
      <c r="J8" s="9">
        <f>Данные!H6</f>
        <v>1</v>
      </c>
      <c r="K8" s="9">
        <f>Данные!I6</f>
        <v>1</v>
      </c>
      <c r="L8" s="9">
        <f>Данные!J6</f>
        <v>1</v>
      </c>
      <c r="M8" s="9">
        <f>Данные!K6</f>
        <v>1</v>
      </c>
    </row>
    <row r="9" spans="1:13" s="7" customFormat="1" ht="78.75">
      <c r="A9" s="14" t="s">
        <v>27</v>
      </c>
      <c r="B9" s="159" t="s">
        <v>152</v>
      </c>
      <c r="C9" s="6" t="s">
        <v>124</v>
      </c>
      <c r="D9" s="151">
        <v>0</v>
      </c>
      <c r="E9" s="151">
        <v>1</v>
      </c>
      <c r="F9" s="4">
        <f t="shared" ref="F9:F13" si="0">MIN($H9:$M9)</f>
        <v>1</v>
      </c>
      <c r="G9" s="4">
        <f t="shared" ref="G9:G13" si="1">MAX($H9:$M9)</f>
        <v>1</v>
      </c>
      <c r="H9" s="9">
        <f>Данные!F7</f>
        <v>1</v>
      </c>
      <c r="I9" s="9">
        <f>Данные!G7</f>
        <v>1</v>
      </c>
      <c r="J9" s="9">
        <f>Данные!H7</f>
        <v>1</v>
      </c>
      <c r="K9" s="9">
        <f>Данные!I7</f>
        <v>1</v>
      </c>
      <c r="L9" s="9">
        <f>Данные!J7</f>
        <v>1</v>
      </c>
      <c r="M9" s="9">
        <f>Данные!K7</f>
        <v>1</v>
      </c>
    </row>
    <row r="10" spans="1:13" s="7" customFormat="1" ht="141.75">
      <c r="A10" s="14" t="s">
        <v>28</v>
      </c>
      <c r="B10" s="79" t="s">
        <v>153</v>
      </c>
      <c r="C10" s="6" t="s">
        <v>221</v>
      </c>
      <c r="D10" s="36">
        <f>F10</f>
        <v>1.2009667224392234E-3</v>
      </c>
      <c r="E10" s="36">
        <f>G10</f>
        <v>0.25248784137673025</v>
      </c>
      <c r="F10" s="4">
        <f t="shared" si="0"/>
        <v>1.2009667224392234E-3</v>
      </c>
      <c r="G10" s="4">
        <f t="shared" si="1"/>
        <v>0.25248784137673025</v>
      </c>
      <c r="H10" s="44">
        <f>ABS(Данные!F11+Данные!F12-Данные!F9-Данные!F10)/(Данные!F9+Данные!F10)</f>
        <v>2.7975067817626226E-2</v>
      </c>
      <c r="I10" s="44">
        <f>ABS(Данные!G11+Данные!G12-Данные!G9-Данные!G10)/(Данные!G9+Данные!G10)</f>
        <v>1.2009667224392234E-3</v>
      </c>
      <c r="J10" s="44">
        <f>ABS(Данные!H11+Данные!H12-Данные!H9-Данные!H10)/(Данные!H9+Данные!H10)</f>
        <v>1.3632017483950305E-2</v>
      </c>
      <c r="K10" s="44">
        <f>ABS(Данные!I11+Данные!I12-Данные!I9-Данные!I10)/(Данные!I9+Данные!I10)</f>
        <v>0.25248784137673025</v>
      </c>
      <c r="L10" s="44">
        <f>ABS(Данные!J11+Данные!J12-Данные!J9-Данные!J10)/(Данные!J9+Данные!J10)</f>
        <v>8.4114886027877936E-3</v>
      </c>
      <c r="M10" s="44">
        <f>ABS(Данные!K11+Данные!K12-Данные!K9-Данные!K10)/(Данные!K9+Данные!K10)</f>
        <v>0.2105320402429075</v>
      </c>
    </row>
    <row r="11" spans="1:13" s="7" customFormat="1" ht="103.15" customHeight="1">
      <c r="A11" s="14" t="s">
        <v>29</v>
      </c>
      <c r="B11" s="159" t="s">
        <v>87</v>
      </c>
      <c r="C11" s="6" t="s">
        <v>88</v>
      </c>
      <c r="D11" s="151">
        <v>0</v>
      </c>
      <c r="E11" s="151">
        <v>1</v>
      </c>
      <c r="F11" s="4">
        <f t="shared" si="0"/>
        <v>1</v>
      </c>
      <c r="G11" s="4">
        <f t="shared" si="1"/>
        <v>1</v>
      </c>
      <c r="H11" s="9">
        <f>Данные!F13</f>
        <v>1</v>
      </c>
      <c r="I11" s="9">
        <f>Данные!G13</f>
        <v>1</v>
      </c>
      <c r="J11" s="9">
        <f>Данные!H13</f>
        <v>1</v>
      </c>
      <c r="K11" s="9">
        <f>Данные!I13</f>
        <v>1</v>
      </c>
      <c r="L11" s="9">
        <f>Данные!J13</f>
        <v>1</v>
      </c>
      <c r="M11" s="9">
        <f>Данные!K13</f>
        <v>1</v>
      </c>
    </row>
    <row r="12" spans="1:13" s="7" customFormat="1" ht="189">
      <c r="A12" s="14" t="s">
        <v>30</v>
      </c>
      <c r="B12" s="159" t="s">
        <v>158</v>
      </c>
      <c r="C12" s="6" t="s">
        <v>222</v>
      </c>
      <c r="D12" s="65">
        <f>F12</f>
        <v>0</v>
      </c>
      <c r="E12" s="65">
        <f>G12</f>
        <v>99.39534128723318</v>
      </c>
      <c r="F12" s="4">
        <f t="shared" si="0"/>
        <v>0</v>
      </c>
      <c r="G12" s="4">
        <f t="shared" si="1"/>
        <v>99.39534128723318</v>
      </c>
      <c r="H12" s="66">
        <f>Данные!F14</f>
        <v>99.26677412218325</v>
      </c>
      <c r="I12" s="66">
        <f>Данные!G14</f>
        <v>97.931030152331431</v>
      </c>
      <c r="J12" s="66">
        <f>Данные!H14</f>
        <v>97.835948229223021</v>
      </c>
      <c r="K12" s="66">
        <f>Данные!I14</f>
        <v>99.39534128723318</v>
      </c>
      <c r="L12" s="66">
        <f>Данные!J14</f>
        <v>98.29320925580663</v>
      </c>
      <c r="M12" s="66">
        <f>Данные!K14</f>
        <v>0</v>
      </c>
    </row>
    <row r="13" spans="1:13" s="7" customFormat="1" ht="75">
      <c r="A13" s="14" t="s">
        <v>31</v>
      </c>
      <c r="B13" s="202" t="s">
        <v>161</v>
      </c>
      <c r="C13" s="6" t="s">
        <v>117</v>
      </c>
      <c r="D13" s="151">
        <v>0</v>
      </c>
      <c r="E13" s="151">
        <v>1</v>
      </c>
      <c r="F13" s="4">
        <f t="shared" si="0"/>
        <v>0</v>
      </c>
      <c r="G13" s="4">
        <f t="shared" si="1"/>
        <v>0</v>
      </c>
      <c r="H13" s="9">
        <f>Данные!F17</f>
        <v>0</v>
      </c>
      <c r="I13" s="9">
        <f>Данные!G17</f>
        <v>0</v>
      </c>
      <c r="J13" s="9">
        <f>Данные!H17</f>
        <v>0</v>
      </c>
      <c r="K13" s="9">
        <f>Данные!I17</f>
        <v>0</v>
      </c>
      <c r="L13" s="9">
        <f>Данные!J17</f>
        <v>0</v>
      </c>
      <c r="M13" s="9">
        <f>Данные!K17</f>
        <v>0</v>
      </c>
    </row>
    <row r="14" spans="1:13" s="43" customFormat="1" ht="15.75">
      <c r="A14" s="40"/>
      <c r="B14" s="16" t="s">
        <v>22</v>
      </c>
      <c r="C14" s="17"/>
      <c r="D14" s="17"/>
      <c r="E14" s="18"/>
      <c r="F14" s="41"/>
      <c r="G14" s="41"/>
      <c r="H14" s="42"/>
      <c r="I14" s="42"/>
      <c r="J14" s="42"/>
      <c r="K14" s="42"/>
      <c r="L14" s="42"/>
      <c r="M14" s="42"/>
    </row>
    <row r="15" spans="1:13" s="7" customFormat="1" ht="78.75">
      <c r="A15" s="14" t="s">
        <v>40</v>
      </c>
      <c r="B15" s="159" t="s">
        <v>162</v>
      </c>
      <c r="C15" s="68" t="s">
        <v>223</v>
      </c>
      <c r="D15" s="36">
        <f t="shared" ref="D15:E20" si="2">F15</f>
        <v>4</v>
      </c>
      <c r="E15" s="36">
        <f t="shared" si="2"/>
        <v>8</v>
      </c>
      <c r="F15" s="36">
        <f t="shared" ref="F15:F24" si="3">MIN($H15:$M15)</f>
        <v>4</v>
      </c>
      <c r="G15" s="36">
        <f t="shared" ref="G15:G24" si="4">MAX($H15:$M15)</f>
        <v>8</v>
      </c>
      <c r="H15" s="44">
        <f>Данные!F19</f>
        <v>4</v>
      </c>
      <c r="I15" s="44">
        <f>Данные!G19</f>
        <v>5</v>
      </c>
      <c r="J15" s="44">
        <f>Данные!H19</f>
        <v>6</v>
      </c>
      <c r="K15" s="44">
        <f>Данные!I19</f>
        <v>8</v>
      </c>
      <c r="L15" s="44">
        <f>Данные!J19</f>
        <v>4</v>
      </c>
      <c r="M15" s="44">
        <f>Данные!K19</f>
        <v>5</v>
      </c>
    </row>
    <row r="16" spans="1:13" s="7" customFormat="1" ht="110.25">
      <c r="A16" s="14" t="s">
        <v>41</v>
      </c>
      <c r="B16" s="159" t="s">
        <v>163</v>
      </c>
      <c r="C16" s="68" t="s">
        <v>224</v>
      </c>
      <c r="D16" s="36">
        <f t="shared" si="2"/>
        <v>103.17813277675202</v>
      </c>
      <c r="E16" s="36">
        <f t="shared" si="2"/>
        <v>123.45581661037156</v>
      </c>
      <c r="F16" s="36">
        <f t="shared" si="3"/>
        <v>103.17813277675202</v>
      </c>
      <c r="G16" s="36">
        <f t="shared" si="4"/>
        <v>123.45581661037156</v>
      </c>
      <c r="H16" s="44">
        <f>Данные!F20</f>
        <v>103.17813277675202</v>
      </c>
      <c r="I16" s="44">
        <f>Данные!G20</f>
        <v>110.17225145389089</v>
      </c>
      <c r="J16" s="44">
        <f>Данные!H20</f>
        <v>105.33196616252243</v>
      </c>
      <c r="K16" s="44">
        <f>Данные!I20</f>
        <v>123.45581661037156</v>
      </c>
      <c r="L16" s="44">
        <f>Данные!J20</f>
        <v>109.09250117665086</v>
      </c>
      <c r="M16" s="44">
        <f>Данные!K20</f>
        <v>115.09360890181928</v>
      </c>
    </row>
    <row r="17" spans="1:13" s="7" customFormat="1" ht="135.75" customHeight="1">
      <c r="A17" s="14" t="s">
        <v>42</v>
      </c>
      <c r="B17" s="159" t="s">
        <v>166</v>
      </c>
      <c r="C17" s="68" t="s">
        <v>225</v>
      </c>
      <c r="D17" s="36">
        <f t="shared" si="2"/>
        <v>52.158200713788695</v>
      </c>
      <c r="E17" s="36">
        <f t="shared" si="2"/>
        <v>226.94111516414796</v>
      </c>
      <c r="F17" s="36">
        <f t="shared" si="3"/>
        <v>52.158200713788695</v>
      </c>
      <c r="G17" s="36">
        <f t="shared" si="4"/>
        <v>226.94111516414796</v>
      </c>
      <c r="H17" s="44">
        <f>Данные!F23</f>
        <v>99.202961031313748</v>
      </c>
      <c r="I17" s="44">
        <f>Данные!G23</f>
        <v>52.158200713788695</v>
      </c>
      <c r="J17" s="44">
        <f>Данные!H23</f>
        <v>226.94111516414796</v>
      </c>
      <c r="K17" s="44">
        <f>Данные!I23</f>
        <v>115.73048351361919</v>
      </c>
      <c r="L17" s="44">
        <f>Данные!J23</f>
        <v>67.027116952254204</v>
      </c>
      <c r="M17" s="44">
        <f>Данные!K23</f>
        <v>97.324470294972983</v>
      </c>
    </row>
    <row r="18" spans="1:13" s="7" customFormat="1" ht="94.5">
      <c r="A18" s="14" t="s">
        <v>43</v>
      </c>
      <c r="B18" s="159" t="s">
        <v>168</v>
      </c>
      <c r="C18" s="68" t="s">
        <v>226</v>
      </c>
      <c r="D18" s="151">
        <f t="shared" si="2"/>
        <v>0</v>
      </c>
      <c r="E18" s="151">
        <f t="shared" si="2"/>
        <v>204</v>
      </c>
      <c r="F18" s="151">
        <f t="shared" si="3"/>
        <v>0</v>
      </c>
      <c r="G18" s="151">
        <f t="shared" si="4"/>
        <v>204</v>
      </c>
      <c r="H18" s="149">
        <f>Данные!F26</f>
        <v>0</v>
      </c>
      <c r="I18" s="149">
        <f>Данные!G26</f>
        <v>0</v>
      </c>
      <c r="J18" s="149">
        <f>Данные!H26</f>
        <v>204</v>
      </c>
      <c r="K18" s="149">
        <f>Данные!I26</f>
        <v>0</v>
      </c>
      <c r="L18" s="149">
        <f>Данные!J26</f>
        <v>0</v>
      </c>
      <c r="M18" s="149">
        <f>Данные!K26</f>
        <v>0</v>
      </c>
    </row>
    <row r="19" spans="1:13" s="7" customFormat="1" ht="157.5">
      <c r="A19" s="14" t="s">
        <v>44</v>
      </c>
      <c r="B19" s="192" t="s">
        <v>169</v>
      </c>
      <c r="C19" s="68" t="s">
        <v>227</v>
      </c>
      <c r="D19" s="36">
        <f t="shared" si="2"/>
        <v>0.93782935468079587</v>
      </c>
      <c r="E19" s="36">
        <f t="shared" si="2"/>
        <v>1.8595176970666218</v>
      </c>
      <c r="F19" s="36">
        <f t="shared" si="3"/>
        <v>0.93782935468079587</v>
      </c>
      <c r="G19" s="36">
        <f t="shared" si="4"/>
        <v>1.8595176970666218</v>
      </c>
      <c r="H19" s="44">
        <f>IFERROR(Данные!F37/AVERAGE(Данные!F28,Данные!F31,Данные!F34),0)</f>
        <v>0.9618578000113287</v>
      </c>
      <c r="I19" s="44">
        <f>IFERROR(Данные!G37/AVERAGE(Данные!G28,Данные!G31,Данные!G34),0)</f>
        <v>1.082165447104056</v>
      </c>
      <c r="J19" s="44">
        <f>IFERROR(Данные!H37/AVERAGE(Данные!H28,Данные!H31,Данные!H34),0)</f>
        <v>1.0682711866455903</v>
      </c>
      <c r="K19" s="44">
        <f>IFERROR(Данные!I37/AVERAGE(Данные!I28,Данные!I31,Данные!I34),0)</f>
        <v>1.8595176970666218</v>
      </c>
      <c r="L19" s="44">
        <f>IFERROR(Данные!J37/AVERAGE(Данные!J28,Данные!J31,Данные!J34),0)</f>
        <v>0.93782935468079587</v>
      </c>
      <c r="M19" s="44">
        <f>IFERROR(Данные!K37/AVERAGE(Данные!K28,Данные!K31,Данные!K34),0)</f>
        <v>1.1295501213365688</v>
      </c>
    </row>
    <row r="20" spans="1:13" s="7" customFormat="1" ht="214.5" customHeight="1">
      <c r="A20" s="14" t="s">
        <v>45</v>
      </c>
      <c r="B20" s="159" t="s">
        <v>182</v>
      </c>
      <c r="C20" s="68" t="s">
        <v>228</v>
      </c>
      <c r="D20" s="36">
        <f t="shared" si="2"/>
        <v>0</v>
      </c>
      <c r="E20" s="36">
        <f t="shared" si="2"/>
        <v>0.190785064106722</v>
      </c>
      <c r="F20" s="36">
        <f t="shared" si="3"/>
        <v>0</v>
      </c>
      <c r="G20" s="36">
        <f t="shared" si="4"/>
        <v>0.190785064106722</v>
      </c>
      <c r="H20" s="44">
        <f>Данные!F40</f>
        <v>0.190785064106722</v>
      </c>
      <c r="I20" s="44">
        <f>Данные!G40</f>
        <v>3.8707349359926826E-2</v>
      </c>
      <c r="J20" s="44">
        <f>Данные!H40</f>
        <v>0.13467069131765397</v>
      </c>
      <c r="K20" s="44">
        <f>Данные!I40</f>
        <v>0</v>
      </c>
      <c r="L20" s="44">
        <f>Данные!J40</f>
        <v>0</v>
      </c>
      <c r="M20" s="44">
        <f>Данные!K40</f>
        <v>0</v>
      </c>
    </row>
    <row r="21" spans="1:13" s="7" customFormat="1" ht="63">
      <c r="A21" s="14" t="s">
        <v>46</v>
      </c>
      <c r="B21" s="159" t="s">
        <v>184</v>
      </c>
      <c r="C21" s="68" t="s">
        <v>111</v>
      </c>
      <c r="D21" s="151">
        <v>0</v>
      </c>
      <c r="E21" s="151">
        <v>1</v>
      </c>
      <c r="F21" s="9">
        <f t="shared" si="3"/>
        <v>1</v>
      </c>
      <c r="G21" s="9">
        <f t="shared" si="4"/>
        <v>1</v>
      </c>
      <c r="H21" s="9">
        <f>Данные!F42</f>
        <v>1</v>
      </c>
      <c r="I21" s="9">
        <f>Данные!G42</f>
        <v>1</v>
      </c>
      <c r="J21" s="9">
        <f>Данные!H42</f>
        <v>1</v>
      </c>
      <c r="K21" s="9">
        <f>Данные!I42</f>
        <v>1</v>
      </c>
      <c r="L21" s="9">
        <f>Данные!J42</f>
        <v>1</v>
      </c>
      <c r="M21" s="9">
        <f>Данные!K42</f>
        <v>1</v>
      </c>
    </row>
    <row r="22" spans="1:13" s="7" customFormat="1" ht="47.25">
      <c r="A22" s="14" t="s">
        <v>47</v>
      </c>
      <c r="B22" s="159" t="s">
        <v>185</v>
      </c>
      <c r="C22" s="68" t="s">
        <v>102</v>
      </c>
      <c r="D22" s="151">
        <v>0</v>
      </c>
      <c r="E22" s="151">
        <v>1</v>
      </c>
      <c r="F22" s="9">
        <f t="shared" si="3"/>
        <v>1</v>
      </c>
      <c r="G22" s="9">
        <f t="shared" si="4"/>
        <v>1</v>
      </c>
      <c r="H22" s="9">
        <f>Данные!F43</f>
        <v>1</v>
      </c>
      <c r="I22" s="9">
        <f>Данные!G43</f>
        <v>1</v>
      </c>
      <c r="J22" s="9">
        <f>Данные!H43</f>
        <v>1</v>
      </c>
      <c r="K22" s="9">
        <f>Данные!I43</f>
        <v>1</v>
      </c>
      <c r="L22" s="9">
        <f>Данные!J43</f>
        <v>1</v>
      </c>
      <c r="M22" s="9">
        <f>Данные!K43</f>
        <v>1</v>
      </c>
    </row>
    <row r="23" spans="1:13" s="7" customFormat="1" ht="47.25">
      <c r="A23" s="14" t="s">
        <v>48</v>
      </c>
      <c r="B23" s="159" t="s">
        <v>186</v>
      </c>
      <c r="C23" s="68" t="s">
        <v>219</v>
      </c>
      <c r="D23" s="151">
        <v>0</v>
      </c>
      <c r="E23" s="151">
        <v>1</v>
      </c>
      <c r="F23" s="9">
        <f t="shared" si="3"/>
        <v>0</v>
      </c>
      <c r="G23" s="9">
        <f t="shared" si="4"/>
        <v>1</v>
      </c>
      <c r="H23" s="9">
        <f>Данные!F44</f>
        <v>0</v>
      </c>
      <c r="I23" s="9">
        <f>Данные!G44</f>
        <v>0</v>
      </c>
      <c r="J23" s="9">
        <f>Данные!H44</f>
        <v>0</v>
      </c>
      <c r="K23" s="9">
        <f>Данные!I44</f>
        <v>1</v>
      </c>
      <c r="L23" s="9">
        <f>Данные!J44</f>
        <v>0</v>
      </c>
      <c r="M23" s="9">
        <f>Данные!K44</f>
        <v>1</v>
      </c>
    </row>
    <row r="24" spans="1:13" s="7" customFormat="1" ht="90.6" customHeight="1">
      <c r="A24" s="14" t="s">
        <v>49</v>
      </c>
      <c r="B24" s="159" t="s">
        <v>127</v>
      </c>
      <c r="C24" s="68" t="s">
        <v>89</v>
      </c>
      <c r="D24" s="151">
        <v>0</v>
      </c>
      <c r="E24" s="151">
        <v>1</v>
      </c>
      <c r="F24" s="9">
        <f t="shared" si="3"/>
        <v>0</v>
      </c>
      <c r="G24" s="9">
        <f t="shared" si="4"/>
        <v>0</v>
      </c>
      <c r="H24" s="9">
        <f>Данные!F45</f>
        <v>0</v>
      </c>
      <c r="I24" s="9">
        <f>Данные!G45</f>
        <v>0</v>
      </c>
      <c r="J24" s="9">
        <f>Данные!H45</f>
        <v>0</v>
      </c>
      <c r="K24" s="9">
        <f>Данные!I45</f>
        <v>0</v>
      </c>
      <c r="L24" s="9">
        <f>Данные!J45</f>
        <v>0</v>
      </c>
      <c r="M24" s="9">
        <f>Данные!K45</f>
        <v>0</v>
      </c>
    </row>
    <row r="25" spans="1:13" s="43" customFormat="1" ht="23.45" customHeight="1">
      <c r="A25" s="40"/>
      <c r="B25" s="45" t="s">
        <v>23</v>
      </c>
      <c r="C25" s="46"/>
      <c r="D25" s="46"/>
      <c r="E25" s="47"/>
      <c r="F25" s="48"/>
      <c r="G25" s="48"/>
      <c r="H25" s="49"/>
      <c r="I25" s="49"/>
      <c r="J25" s="49"/>
      <c r="K25" s="49"/>
      <c r="L25" s="49"/>
      <c r="M25" s="49"/>
    </row>
    <row r="26" spans="1:13" s="7" customFormat="1" ht="47.25">
      <c r="A26" s="14" t="s">
        <v>50</v>
      </c>
      <c r="B26" s="159" t="s">
        <v>103</v>
      </c>
      <c r="C26" s="68" t="s">
        <v>104</v>
      </c>
      <c r="D26" s="151">
        <v>0</v>
      </c>
      <c r="E26" s="151">
        <v>1</v>
      </c>
      <c r="F26" s="9">
        <f>MIN($H26:$M26)</f>
        <v>1</v>
      </c>
      <c r="G26" s="9">
        <f>MAX($H26:$M26)</f>
        <v>1</v>
      </c>
      <c r="H26" s="9">
        <f>Данные!F47</f>
        <v>1</v>
      </c>
      <c r="I26" s="9">
        <f>Данные!G47</f>
        <v>1</v>
      </c>
      <c r="J26" s="9">
        <f>Данные!H47</f>
        <v>1</v>
      </c>
      <c r="K26" s="9">
        <f>Данные!I47</f>
        <v>1</v>
      </c>
      <c r="L26" s="9">
        <f>Данные!J47</f>
        <v>1</v>
      </c>
      <c r="M26" s="9">
        <f>Данные!K47</f>
        <v>1</v>
      </c>
    </row>
    <row r="27" spans="1:13" s="7" customFormat="1" ht="54" customHeight="1">
      <c r="A27" s="14" t="s">
        <v>51</v>
      </c>
      <c r="B27" s="159" t="s">
        <v>187</v>
      </c>
      <c r="C27" s="68" t="s">
        <v>112</v>
      </c>
      <c r="D27" s="151">
        <v>0</v>
      </c>
      <c r="E27" s="151">
        <v>1</v>
      </c>
      <c r="F27" s="9">
        <f>MIN($H27:$M27)</f>
        <v>1</v>
      </c>
      <c r="G27" s="9">
        <f>MAX($H27:$M27)</f>
        <v>1</v>
      </c>
      <c r="H27" s="9">
        <f>Данные!F48</f>
        <v>1</v>
      </c>
      <c r="I27" s="9">
        <f>Данные!G48</f>
        <v>1</v>
      </c>
      <c r="J27" s="9">
        <f>Данные!H48</f>
        <v>1</v>
      </c>
      <c r="K27" s="9">
        <f>Данные!I48</f>
        <v>1</v>
      </c>
      <c r="L27" s="9">
        <f>Данные!J48</f>
        <v>1</v>
      </c>
      <c r="M27" s="9">
        <f>Данные!K48</f>
        <v>1</v>
      </c>
    </row>
    <row r="28" spans="1:13" s="7" customFormat="1" ht="110.25">
      <c r="A28" s="14" t="s">
        <v>81</v>
      </c>
      <c r="B28" s="159" t="s">
        <v>80</v>
      </c>
      <c r="C28" s="68" t="s">
        <v>229</v>
      </c>
      <c r="D28" s="36">
        <f>F28</f>
        <v>0</v>
      </c>
      <c r="E28" s="36">
        <f>G28</f>
        <v>0</v>
      </c>
      <c r="F28" s="36">
        <f>MIN($H28:$M28)</f>
        <v>0</v>
      </c>
      <c r="G28" s="36">
        <f>MAX($H28:$M28)</f>
        <v>0</v>
      </c>
      <c r="H28" s="44">
        <f>IFERROR(Данные!F50/(Данные!F51),0)</f>
        <v>0</v>
      </c>
      <c r="I28" s="44">
        <f>IFERROR(Данные!G50/(Данные!G51),0)</f>
        <v>0</v>
      </c>
      <c r="J28" s="44">
        <f>IFERROR(Данные!H50/(Данные!H51),0)</f>
        <v>0</v>
      </c>
      <c r="K28" s="44">
        <f>IFERROR(Данные!I50/(Данные!I51),0)</f>
        <v>0</v>
      </c>
      <c r="L28" s="44">
        <f>IFERROR(Данные!J50/(Данные!J51),0)</f>
        <v>0</v>
      </c>
      <c r="M28" s="44">
        <f>IFERROR(Данные!K50/(Данные!K51),0)</f>
        <v>0</v>
      </c>
    </row>
    <row r="29" spans="1:13" s="13" customFormat="1" ht="31.5">
      <c r="A29" s="10"/>
      <c r="B29" s="11" t="s">
        <v>118</v>
      </c>
      <c r="C29" s="11"/>
      <c r="D29" s="11"/>
      <c r="E29" s="11"/>
      <c r="F29" s="11"/>
      <c r="G29" s="11"/>
      <c r="H29" s="12"/>
      <c r="I29" s="12"/>
      <c r="J29" s="12"/>
      <c r="K29" s="12"/>
      <c r="L29" s="12"/>
      <c r="M29" s="12"/>
    </row>
    <row r="30" spans="1:13" s="7" customFormat="1" ht="167.25" customHeight="1">
      <c r="A30" s="14" t="s">
        <v>52</v>
      </c>
      <c r="B30" s="159" t="s">
        <v>230</v>
      </c>
      <c r="C30" s="68" t="s">
        <v>231</v>
      </c>
      <c r="D30" s="36">
        <f>F30</f>
        <v>0</v>
      </c>
      <c r="E30" s="36">
        <f>G30</f>
        <v>0</v>
      </c>
      <c r="F30" s="9">
        <f t="shared" ref="F30:F37" si="5">MIN($H30:$M30)</f>
        <v>0</v>
      </c>
      <c r="G30" s="9">
        <f t="shared" ref="G30:G37" si="6">MAX($H30:$M30)</f>
        <v>0</v>
      </c>
      <c r="H30" s="44">
        <f>IFERROR(Данные!F54/(Данные!F55),0)</f>
        <v>0</v>
      </c>
      <c r="I30" s="44">
        <f>IFERROR(Данные!G54/(Данные!G55),0)</f>
        <v>0</v>
      </c>
      <c r="J30" s="44">
        <f>IFERROR(Данные!H54/(Данные!H55),0)</f>
        <v>0</v>
      </c>
      <c r="K30" s="44">
        <f>IFERROR(Данные!I54/(Данные!I55),0)</f>
        <v>0</v>
      </c>
      <c r="L30" s="44">
        <f>IFERROR(Данные!J54/(Данные!J55),0)</f>
        <v>0</v>
      </c>
      <c r="M30" s="44">
        <f>IFERROR(Данные!K54/(Данные!K55),0)</f>
        <v>0</v>
      </c>
    </row>
    <row r="31" spans="1:13" s="7" customFormat="1" ht="75">
      <c r="A31" s="14" t="s">
        <v>53</v>
      </c>
      <c r="B31" s="159" t="s">
        <v>192</v>
      </c>
      <c r="C31" s="68" t="s">
        <v>90</v>
      </c>
      <c r="D31" s="151">
        <v>0</v>
      </c>
      <c r="E31" s="151">
        <v>1</v>
      </c>
      <c r="F31" s="9">
        <f t="shared" si="5"/>
        <v>0</v>
      </c>
      <c r="G31" s="9">
        <f t="shared" si="6"/>
        <v>0</v>
      </c>
      <c r="H31" s="149">
        <f>Данные!F56</f>
        <v>0</v>
      </c>
      <c r="I31" s="149">
        <f>Данные!G56</f>
        <v>0</v>
      </c>
      <c r="J31" s="149">
        <f>Данные!H56</f>
        <v>0</v>
      </c>
      <c r="K31" s="149">
        <f>Данные!I56</f>
        <v>0</v>
      </c>
      <c r="L31" s="149">
        <f>Данные!J56</f>
        <v>0</v>
      </c>
      <c r="M31" s="149">
        <f>Данные!K56</f>
        <v>0</v>
      </c>
    </row>
    <row r="32" spans="1:13" s="7" customFormat="1" ht="75">
      <c r="A32" s="14" t="s">
        <v>54</v>
      </c>
      <c r="B32" s="159" t="s">
        <v>193</v>
      </c>
      <c r="C32" s="68" t="s">
        <v>91</v>
      </c>
      <c r="D32" s="151">
        <v>0</v>
      </c>
      <c r="E32" s="151">
        <v>1</v>
      </c>
      <c r="F32" s="9">
        <f t="shared" si="5"/>
        <v>0</v>
      </c>
      <c r="G32" s="9">
        <f t="shared" si="6"/>
        <v>1</v>
      </c>
      <c r="H32" s="149">
        <f>Данные!F57</f>
        <v>0</v>
      </c>
      <c r="I32" s="149">
        <f>Данные!G57</f>
        <v>1</v>
      </c>
      <c r="J32" s="149">
        <f>Данные!H57</f>
        <v>0</v>
      </c>
      <c r="K32" s="149">
        <f>Данные!I57</f>
        <v>1</v>
      </c>
      <c r="L32" s="149">
        <f>Данные!J57</f>
        <v>1</v>
      </c>
      <c r="M32" s="149">
        <f>Данные!K57</f>
        <v>0</v>
      </c>
    </row>
    <row r="33" spans="1:13" s="7" customFormat="1" ht="196.5" customHeight="1">
      <c r="A33" s="14" t="s">
        <v>55</v>
      </c>
      <c r="B33" s="159" t="s">
        <v>120</v>
      </c>
      <c r="C33" s="68" t="s">
        <v>232</v>
      </c>
      <c r="D33" s="36" t="e">
        <f>F33</f>
        <v>#DIV/0!</v>
      </c>
      <c r="E33" s="36" t="e">
        <f>G33</f>
        <v>#DIV/0!</v>
      </c>
      <c r="F33" s="36" t="e">
        <f t="shared" si="5"/>
        <v>#DIV/0!</v>
      </c>
      <c r="G33" s="36" t="e">
        <f t="shared" si="6"/>
        <v>#DIV/0!</v>
      </c>
      <c r="H33" s="44" t="e">
        <f>Данные!F58</f>
        <v>#DIV/0!</v>
      </c>
      <c r="I33" s="44">
        <f>Данные!G58</f>
        <v>0</v>
      </c>
      <c r="J33" s="44">
        <f>Данные!H58</f>
        <v>0</v>
      </c>
      <c r="K33" s="44">
        <f>Данные!I58</f>
        <v>0</v>
      </c>
      <c r="L33" s="44" t="e">
        <f>Данные!J58</f>
        <v>#DIV/0!</v>
      </c>
      <c r="M33" s="44" t="e">
        <f>Данные!K58</f>
        <v>#DIV/0!</v>
      </c>
    </row>
    <row r="34" spans="1:13" s="7" customFormat="1" ht="153" customHeight="1">
      <c r="A34" s="14" t="s">
        <v>56</v>
      </c>
      <c r="B34" s="159" t="s">
        <v>195</v>
      </c>
      <c r="C34" s="68" t="s">
        <v>233</v>
      </c>
      <c r="D34" s="36" t="e">
        <f>F34</f>
        <v>#DIV/0!</v>
      </c>
      <c r="E34" s="36" t="e">
        <f>G34</f>
        <v>#DIV/0!</v>
      </c>
      <c r="F34" s="36" t="e">
        <f t="shared" si="5"/>
        <v>#DIV/0!</v>
      </c>
      <c r="G34" s="36" t="e">
        <f t="shared" si="6"/>
        <v>#DIV/0!</v>
      </c>
      <c r="H34" s="44" t="e">
        <f>Данные!F61</f>
        <v>#DIV/0!</v>
      </c>
      <c r="I34" s="44">
        <f>Данные!G61</f>
        <v>0</v>
      </c>
      <c r="J34" s="44">
        <f>Данные!H61</f>
        <v>0</v>
      </c>
      <c r="K34" s="44">
        <f>Данные!I61</f>
        <v>0</v>
      </c>
      <c r="L34" s="44" t="e">
        <f>Данные!J61</f>
        <v>#DIV/0!</v>
      </c>
      <c r="M34" s="44" t="e">
        <f>Данные!K61</f>
        <v>#DIV/0!</v>
      </c>
    </row>
    <row r="35" spans="1:13" s="7" customFormat="1" ht="47.25">
      <c r="A35" s="14" t="s">
        <v>57</v>
      </c>
      <c r="B35" s="159" t="s">
        <v>122</v>
      </c>
      <c r="C35" s="68" t="s">
        <v>92</v>
      </c>
      <c r="D35" s="151">
        <v>0</v>
      </c>
      <c r="E35" s="151">
        <v>1</v>
      </c>
      <c r="F35" s="9">
        <f t="shared" si="5"/>
        <v>0</v>
      </c>
      <c r="G35" s="9">
        <f t="shared" si="6"/>
        <v>0</v>
      </c>
      <c r="H35" s="149">
        <f>Данные!F64</f>
        <v>0</v>
      </c>
      <c r="I35" s="149">
        <f>Данные!G64</f>
        <v>0</v>
      </c>
      <c r="J35" s="149">
        <f>Данные!H64</f>
        <v>0</v>
      </c>
      <c r="K35" s="149">
        <f>Данные!I64</f>
        <v>0</v>
      </c>
      <c r="L35" s="149">
        <f>Данные!J64</f>
        <v>0</v>
      </c>
      <c r="M35" s="149">
        <f>Данные!K64</f>
        <v>0</v>
      </c>
    </row>
    <row r="36" spans="1:13" s="7" customFormat="1" ht="75">
      <c r="A36" s="14" t="s">
        <v>58</v>
      </c>
      <c r="B36" s="159" t="s">
        <v>197</v>
      </c>
      <c r="C36" s="68" t="s">
        <v>123</v>
      </c>
      <c r="D36" s="151">
        <v>0</v>
      </c>
      <c r="E36" s="151">
        <v>1</v>
      </c>
      <c r="F36" s="9">
        <f t="shared" si="5"/>
        <v>0</v>
      </c>
      <c r="G36" s="9">
        <f t="shared" si="6"/>
        <v>1</v>
      </c>
      <c r="H36" s="149">
        <f>Данные!F65</f>
        <v>0</v>
      </c>
      <c r="I36" s="149">
        <f>Данные!G65</f>
        <v>1</v>
      </c>
      <c r="J36" s="149">
        <f>Данные!H65</f>
        <v>0</v>
      </c>
      <c r="K36" s="149">
        <f>Данные!I65</f>
        <v>0</v>
      </c>
      <c r="L36" s="149">
        <f>Данные!J65</f>
        <v>0</v>
      </c>
      <c r="M36" s="149">
        <f>Данные!K65</f>
        <v>0</v>
      </c>
    </row>
    <row r="37" spans="1:13" s="7" customFormat="1" ht="296.45" customHeight="1">
      <c r="A37" s="14" t="s">
        <v>101</v>
      </c>
      <c r="B37" s="159" t="s">
        <v>198</v>
      </c>
      <c r="C37" s="68" t="s">
        <v>234</v>
      </c>
      <c r="D37" s="36">
        <f>F37</f>
        <v>0</v>
      </c>
      <c r="E37" s="36">
        <f>G37</f>
        <v>0</v>
      </c>
      <c r="F37" s="36">
        <f t="shared" si="5"/>
        <v>0</v>
      </c>
      <c r="G37" s="36">
        <f t="shared" si="6"/>
        <v>0</v>
      </c>
      <c r="H37" s="44">
        <f>Данные!F66</f>
        <v>0</v>
      </c>
      <c r="I37" s="44">
        <f>Данные!G66</f>
        <v>0</v>
      </c>
      <c r="J37" s="44">
        <f>Данные!H66</f>
        <v>0</v>
      </c>
      <c r="K37" s="44">
        <f>Данные!I66</f>
        <v>0</v>
      </c>
      <c r="L37" s="44">
        <f>Данные!J66</f>
        <v>0</v>
      </c>
      <c r="M37" s="44">
        <f>Данные!K66</f>
        <v>0</v>
      </c>
    </row>
    <row r="38" spans="1:13" ht="15.75">
      <c r="A38" s="46"/>
      <c r="B38" s="45" t="s">
        <v>93</v>
      </c>
      <c r="C38" s="46"/>
      <c r="D38" s="46"/>
      <c r="E38" s="47"/>
      <c r="F38" s="47"/>
      <c r="G38" s="47"/>
      <c r="H38" s="47"/>
      <c r="I38" s="47"/>
      <c r="J38" s="47"/>
      <c r="K38" s="47"/>
      <c r="L38" s="47"/>
      <c r="M38" s="47"/>
    </row>
    <row r="39" spans="1:13" s="7" customFormat="1" ht="82.5" customHeight="1">
      <c r="A39" s="14" t="s">
        <v>59</v>
      </c>
      <c r="B39" s="159" t="s">
        <v>201</v>
      </c>
      <c r="C39" s="68" t="s">
        <v>94</v>
      </c>
      <c r="D39" s="151">
        <v>0</v>
      </c>
      <c r="E39" s="151">
        <v>1</v>
      </c>
      <c r="F39" s="9">
        <f t="shared" ref="F39:F46" si="7">MIN($H39:$M39)</f>
        <v>1</v>
      </c>
      <c r="G39" s="9">
        <f t="shared" ref="G39:G46" si="8">MAX($H39:$M39)</f>
        <v>1</v>
      </c>
      <c r="H39" s="149">
        <f>Данные!F70</f>
        <v>1</v>
      </c>
      <c r="I39" s="149">
        <f>Данные!G70</f>
        <v>1</v>
      </c>
      <c r="J39" s="149">
        <f>Данные!H70</f>
        <v>1</v>
      </c>
      <c r="K39" s="149">
        <f>Данные!I70</f>
        <v>1</v>
      </c>
      <c r="L39" s="149">
        <f>Данные!J70</f>
        <v>1</v>
      </c>
      <c r="M39" s="149">
        <f>Данные!K70</f>
        <v>1</v>
      </c>
    </row>
    <row r="40" spans="1:13" s="7" customFormat="1" ht="63.6" customHeight="1">
      <c r="A40" s="14" t="s">
        <v>60</v>
      </c>
      <c r="B40" s="159" t="s">
        <v>202</v>
      </c>
      <c r="C40" s="68" t="s">
        <v>95</v>
      </c>
      <c r="D40" s="151">
        <v>0</v>
      </c>
      <c r="E40" s="151">
        <v>1</v>
      </c>
      <c r="F40" s="9">
        <f t="shared" si="7"/>
        <v>0</v>
      </c>
      <c r="G40" s="9">
        <f t="shared" si="8"/>
        <v>1</v>
      </c>
      <c r="H40" s="149">
        <f>Данные!F71</f>
        <v>1</v>
      </c>
      <c r="I40" s="149">
        <f>Данные!G71</f>
        <v>1</v>
      </c>
      <c r="J40" s="149">
        <f>Данные!H71</f>
        <v>0</v>
      </c>
      <c r="K40" s="149">
        <f>Данные!I71</f>
        <v>1</v>
      </c>
      <c r="L40" s="149">
        <f>Данные!J71</f>
        <v>1</v>
      </c>
      <c r="M40" s="149">
        <f>Данные!K71</f>
        <v>0</v>
      </c>
    </row>
    <row r="41" spans="1:13" s="7" customFormat="1" ht="159.6" customHeight="1">
      <c r="A41" s="14" t="s">
        <v>61</v>
      </c>
      <c r="B41" s="159" t="s">
        <v>203</v>
      </c>
      <c r="C41" s="68" t="s">
        <v>235</v>
      </c>
      <c r="D41" s="36">
        <f>F41</f>
        <v>0.14285714285714285</v>
      </c>
      <c r="E41" s="36">
        <f>G41</f>
        <v>0.5714285714285714</v>
      </c>
      <c r="F41" s="36">
        <f t="shared" si="7"/>
        <v>0.14285714285714285</v>
      </c>
      <c r="G41" s="9">
        <f t="shared" si="8"/>
        <v>0.5714285714285714</v>
      </c>
      <c r="H41" s="149">
        <f>Данные!F72</f>
        <v>0.2857142857142857</v>
      </c>
      <c r="I41" s="149">
        <f>Данные!G72</f>
        <v>0.5714285714285714</v>
      </c>
      <c r="J41" s="149">
        <f>Данные!H72</f>
        <v>0.2857142857142857</v>
      </c>
      <c r="K41" s="149">
        <f>Данные!I72</f>
        <v>0.42857142857142855</v>
      </c>
      <c r="L41" s="149">
        <f>Данные!J72</f>
        <v>0.42857142857142855</v>
      </c>
      <c r="M41" s="149">
        <f>Данные!K72</f>
        <v>0.14285714285714285</v>
      </c>
    </row>
    <row r="42" spans="1:13" s="7" customFormat="1" ht="84" customHeight="1">
      <c r="A42" s="14" t="s">
        <v>62</v>
      </c>
      <c r="B42" s="159" t="s">
        <v>204</v>
      </c>
      <c r="C42" s="68" t="s">
        <v>96</v>
      </c>
      <c r="D42" s="151">
        <v>0</v>
      </c>
      <c r="E42" s="151">
        <v>1</v>
      </c>
      <c r="F42" s="9">
        <f t="shared" si="7"/>
        <v>0</v>
      </c>
      <c r="G42" s="9">
        <f t="shared" si="8"/>
        <v>1</v>
      </c>
      <c r="H42" s="149">
        <f>Данные!F74</f>
        <v>1</v>
      </c>
      <c r="I42" s="149">
        <f>Данные!G74</f>
        <v>1</v>
      </c>
      <c r="J42" s="149">
        <f>Данные!H74</f>
        <v>1</v>
      </c>
      <c r="K42" s="149">
        <f>Данные!I74</f>
        <v>1</v>
      </c>
      <c r="L42" s="149">
        <f>Данные!J74</f>
        <v>0</v>
      </c>
      <c r="M42" s="149">
        <f>Данные!K74</f>
        <v>1</v>
      </c>
    </row>
    <row r="43" spans="1:13" s="7" customFormat="1" ht="60">
      <c r="A43" s="14" t="s">
        <v>63</v>
      </c>
      <c r="B43" s="159" t="s">
        <v>205</v>
      </c>
      <c r="C43" s="68" t="s">
        <v>97</v>
      </c>
      <c r="D43" s="151">
        <v>0</v>
      </c>
      <c r="E43" s="151">
        <v>1</v>
      </c>
      <c r="F43" s="9">
        <f t="shared" si="7"/>
        <v>0</v>
      </c>
      <c r="G43" s="9">
        <f t="shared" si="8"/>
        <v>1</v>
      </c>
      <c r="H43" s="149">
        <f>Данные!F75</f>
        <v>1</v>
      </c>
      <c r="I43" s="149">
        <f>Данные!G75</f>
        <v>1</v>
      </c>
      <c r="J43" s="149">
        <f>Данные!H75</f>
        <v>1</v>
      </c>
      <c r="K43" s="149">
        <f>Данные!I75</f>
        <v>1</v>
      </c>
      <c r="L43" s="149">
        <f>Данные!J75</f>
        <v>1</v>
      </c>
      <c r="M43" s="149">
        <f>Данные!K75</f>
        <v>0</v>
      </c>
    </row>
    <row r="44" spans="1:13" s="7" customFormat="1" ht="129" customHeight="1">
      <c r="A44" s="14" t="s">
        <v>74</v>
      </c>
      <c r="B44" s="159" t="s">
        <v>206</v>
      </c>
      <c r="C44" s="68" t="s">
        <v>98</v>
      </c>
      <c r="D44" s="151">
        <v>0</v>
      </c>
      <c r="E44" s="151">
        <v>1</v>
      </c>
      <c r="F44" s="9">
        <f t="shared" si="7"/>
        <v>0</v>
      </c>
      <c r="G44" s="9">
        <f t="shared" si="8"/>
        <v>1</v>
      </c>
      <c r="H44" s="149">
        <f>Данные!F76</f>
        <v>1</v>
      </c>
      <c r="I44" s="149">
        <f>Данные!G76</f>
        <v>1</v>
      </c>
      <c r="J44" s="149">
        <f>Данные!H76</f>
        <v>1</v>
      </c>
      <c r="K44" s="149">
        <f>Данные!I76</f>
        <v>1</v>
      </c>
      <c r="L44" s="149">
        <f>Данные!J76</f>
        <v>1</v>
      </c>
      <c r="M44" s="149">
        <f>Данные!K76</f>
        <v>0</v>
      </c>
    </row>
    <row r="45" spans="1:13" s="7" customFormat="1" ht="101.25" customHeight="1">
      <c r="A45" s="14" t="s">
        <v>75</v>
      </c>
      <c r="B45" s="159" t="s">
        <v>207</v>
      </c>
      <c r="C45" s="68" t="s">
        <v>236</v>
      </c>
      <c r="D45" s="151">
        <v>0</v>
      </c>
      <c r="E45" s="151">
        <v>1</v>
      </c>
      <c r="F45" s="9">
        <f t="shared" si="7"/>
        <v>1</v>
      </c>
      <c r="G45" s="9">
        <f t="shared" si="8"/>
        <v>1</v>
      </c>
      <c r="H45" s="149">
        <f>Данные!F77</f>
        <v>1</v>
      </c>
      <c r="I45" s="149">
        <f>Данные!G77</f>
        <v>1</v>
      </c>
      <c r="J45" s="149">
        <f>Данные!H77</f>
        <v>1</v>
      </c>
      <c r="K45" s="149">
        <f>Данные!I77</f>
        <v>1</v>
      </c>
      <c r="L45" s="149">
        <f>Данные!J77</f>
        <v>1</v>
      </c>
      <c r="M45" s="149">
        <f>Данные!K77</f>
        <v>1</v>
      </c>
    </row>
    <row r="46" spans="1:13" ht="63">
      <c r="A46" s="14" t="s">
        <v>115</v>
      </c>
      <c r="B46" s="159" t="s">
        <v>129</v>
      </c>
      <c r="C46" s="68" t="s">
        <v>116</v>
      </c>
      <c r="D46" s="151">
        <v>0</v>
      </c>
      <c r="E46" s="151">
        <v>1</v>
      </c>
      <c r="F46" s="9">
        <f t="shared" si="7"/>
        <v>0</v>
      </c>
      <c r="G46" s="9">
        <f t="shared" si="8"/>
        <v>1</v>
      </c>
      <c r="H46" s="149">
        <f>Данные!F78</f>
        <v>1</v>
      </c>
      <c r="I46" s="149">
        <f>Данные!G78</f>
        <v>1</v>
      </c>
      <c r="J46" s="149">
        <f>Данные!H78</f>
        <v>1</v>
      </c>
      <c r="K46" s="149">
        <f>Данные!I78</f>
        <v>0</v>
      </c>
      <c r="L46" s="149">
        <f>Данные!J78</f>
        <v>0</v>
      </c>
      <c r="M46" s="149">
        <f>Данные!K78</f>
        <v>0</v>
      </c>
    </row>
    <row r="47" spans="1:13" ht="48" hidden="1" customHeight="1">
      <c r="A47" s="191"/>
      <c r="B47" s="244" t="s">
        <v>134</v>
      </c>
      <c r="C47" s="245"/>
      <c r="D47" s="245"/>
      <c r="E47" s="245"/>
      <c r="F47" s="191"/>
      <c r="G47" s="191"/>
      <c r="H47" s="191"/>
      <c r="I47" s="191"/>
      <c r="J47" s="191"/>
      <c r="K47" s="191"/>
      <c r="L47" s="191"/>
      <c r="M47" s="191"/>
    </row>
    <row r="48" spans="1:13" ht="204.75" hidden="1">
      <c r="A48" s="14" t="s">
        <v>131</v>
      </c>
      <c r="B48" s="67" t="s">
        <v>138</v>
      </c>
      <c r="C48" s="68" t="s">
        <v>135</v>
      </c>
      <c r="D48" s="151">
        <v>0</v>
      </c>
      <c r="E48" s="151">
        <v>1</v>
      </c>
      <c r="F48" s="9">
        <f>MIN($H48:$M48)</f>
        <v>0</v>
      </c>
      <c r="G48" s="9">
        <f>MAX($H48:$M48)</f>
        <v>0</v>
      </c>
      <c r="H48" s="149">
        <f>Данные!F80</f>
        <v>0</v>
      </c>
      <c r="I48" s="149">
        <f>Данные!G80</f>
        <v>0</v>
      </c>
      <c r="J48" s="149">
        <f>Данные!H80</f>
        <v>0</v>
      </c>
      <c r="K48" s="149">
        <f>Данные!I80</f>
        <v>0</v>
      </c>
      <c r="L48" s="149">
        <f>Данные!J80</f>
        <v>0</v>
      </c>
      <c r="M48" s="149">
        <f>Данные!K80</f>
        <v>0</v>
      </c>
    </row>
    <row r="49" spans="1:13" ht="236.25" hidden="1">
      <c r="A49" s="14" t="s">
        <v>132</v>
      </c>
      <c r="B49" s="67" t="s">
        <v>139</v>
      </c>
      <c r="C49" s="68" t="s">
        <v>136</v>
      </c>
      <c r="D49" s="151">
        <v>0</v>
      </c>
      <c r="E49" s="151">
        <v>1</v>
      </c>
      <c r="F49" s="9">
        <f>MIN($H49:$M49)</f>
        <v>0</v>
      </c>
      <c r="G49" s="9">
        <f>MAX($H49:$M49)</f>
        <v>0</v>
      </c>
      <c r="H49" s="149">
        <f>Данные!F81</f>
        <v>0</v>
      </c>
      <c r="I49" s="149">
        <f>Данные!G81</f>
        <v>0</v>
      </c>
      <c r="J49" s="149">
        <f>Данные!H81</f>
        <v>0</v>
      </c>
      <c r="K49" s="149">
        <f>Данные!I81</f>
        <v>0</v>
      </c>
      <c r="L49" s="149">
        <f>Данные!J81</f>
        <v>0</v>
      </c>
      <c r="M49" s="149">
        <f>Данные!K81</f>
        <v>0</v>
      </c>
    </row>
    <row r="50" spans="1:13" ht="236.25" hidden="1">
      <c r="A50" s="14" t="s">
        <v>133</v>
      </c>
      <c r="B50" s="67" t="s">
        <v>140</v>
      </c>
      <c r="C50" s="68" t="s">
        <v>137</v>
      </c>
      <c r="D50" s="151">
        <v>0</v>
      </c>
      <c r="E50" s="151">
        <v>1</v>
      </c>
      <c r="F50" s="9">
        <f>MIN($H50:$M50)</f>
        <v>0</v>
      </c>
      <c r="G50" s="9">
        <f>MAX($H50:$M50)</f>
        <v>0</v>
      </c>
      <c r="H50" s="149">
        <f>Данные!F82</f>
        <v>0</v>
      </c>
      <c r="I50" s="149">
        <f>Данные!G82</f>
        <v>0</v>
      </c>
      <c r="J50" s="149">
        <f>Данные!H82</f>
        <v>0</v>
      </c>
      <c r="K50" s="149">
        <f>Данные!I82</f>
        <v>0</v>
      </c>
      <c r="L50" s="149">
        <f>Данные!J82</f>
        <v>0</v>
      </c>
      <c r="M50" s="149">
        <f>Данные!K82</f>
        <v>0</v>
      </c>
    </row>
    <row r="51" spans="1:13" ht="220.5" hidden="1">
      <c r="A51" s="14" t="s">
        <v>141</v>
      </c>
      <c r="B51" s="67" t="s">
        <v>142</v>
      </c>
      <c r="C51" s="68" t="s">
        <v>143</v>
      </c>
      <c r="D51" s="151">
        <v>0</v>
      </c>
      <c r="E51" s="151">
        <v>1</v>
      </c>
      <c r="F51" s="9">
        <f>MIN($H51:$M51)</f>
        <v>0</v>
      </c>
      <c r="G51" s="9">
        <f>MAX($H51:$M51)</f>
        <v>0</v>
      </c>
      <c r="H51" s="149">
        <f>Данные!F83</f>
        <v>0</v>
      </c>
      <c r="I51" s="149">
        <f>Данные!G83</f>
        <v>0</v>
      </c>
      <c r="J51" s="149">
        <f>Данные!H83</f>
        <v>0</v>
      </c>
      <c r="K51" s="149">
        <f>Данные!I83</f>
        <v>0</v>
      </c>
      <c r="L51" s="149">
        <f>Данные!J83</f>
        <v>0</v>
      </c>
      <c r="M51" s="149">
        <f>Данные!K83</f>
        <v>0</v>
      </c>
    </row>
  </sheetData>
  <autoFilter ref="A7:M46"/>
  <customSheetViews>
    <customSheetView guid="{8ABC692A-193F-4EA9-A7E8-F3C636A6C39C}" scale="80" showPageBreaks="1" showAutoFilter="1" hiddenRows="1">
      <pane xSplit="2" ySplit="7" topLeftCell="F8" activePane="bottomRight" state="frozen"/>
      <selection pane="bottomRight" activeCell="N33" sqref="N33"/>
      <pageMargins left="0.15748031496062992" right="0.15748031496062992" top="0.27559055118110237" bottom="0.23622047244094491" header="0.15748031496062992" footer="0.15748031496062992"/>
      <pageSetup paperSize="8" scale="70" orientation="landscape" r:id="rId1"/>
      <autoFilter ref="A7:AC45"/>
    </customSheetView>
    <customSheetView guid="{147A8583-3101-4745-816E-6D404CE92D5B}" scale="80" showPageBreaks="1" showAutoFilter="1" hiddenRows="1">
      <pane xSplit="2" ySplit="7" topLeftCell="C8" activePane="bottomRight" state="frozen"/>
      <selection pane="bottomRight" activeCell="C4" sqref="C4"/>
      <pageMargins left="0.15748031496062992" right="0.15748031496062992" top="0.27559055118110237" bottom="0.23622047244094491" header="0.15748031496062992" footer="0.15748031496062992"/>
      <pageSetup paperSize="8" scale="70" orientation="landscape" r:id="rId2"/>
      <autoFilter ref="A7:AC45"/>
    </customSheetView>
  </customSheetViews>
  <mergeCells count="2">
    <mergeCell ref="B47:E47"/>
    <mergeCell ref="B3:M3"/>
  </mergeCells>
  <pageMargins left="0.47244094488188981" right="0.15748031496062992" top="0.74803149606299213" bottom="0.16" header="0.15748031496062992" footer="0.15748031496062992"/>
  <pageSetup paperSize="9" scale="60" orientation="landscape"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27"/>
  <dimension ref="A1:O93"/>
  <sheetViews>
    <sheetView tabSelected="1" view="pageBreakPreview" topLeftCell="B1" zoomScale="60" zoomScaleNormal="90" workbookViewId="0">
      <pane xSplit="2" ySplit="5" topLeftCell="D84" activePane="bottomRight" state="frozen"/>
      <selection activeCell="B1" sqref="B1"/>
      <selection pane="topRight" activeCell="D1" sqref="D1"/>
      <selection pane="bottomLeft" activeCell="B6" sqref="B6"/>
      <selection pane="bottomRight" activeCell="G90" sqref="G90"/>
    </sheetView>
  </sheetViews>
  <sheetFormatPr defaultColWidth="9.140625" defaultRowHeight="15"/>
  <cols>
    <col min="1" max="1" width="6.42578125" style="7" hidden="1" customWidth="1"/>
    <col min="2" max="2" width="61.42578125" style="7" customWidth="1"/>
    <col min="3" max="3" width="12.42578125" style="54" customWidth="1"/>
    <col min="4" max="5" width="12.85546875" style="7" customWidth="1"/>
    <col min="6" max="6" width="16.140625" style="59" bestFit="1" customWidth="1"/>
    <col min="7" max="7" width="13.28515625" style="59" bestFit="1" customWidth="1"/>
    <col min="8" max="8" width="20.5703125" style="59" bestFit="1" customWidth="1"/>
    <col min="9" max="9" width="15.42578125" style="59" customWidth="1"/>
    <col min="10" max="10" width="15.140625" style="59" customWidth="1"/>
    <col min="11" max="11" width="14.140625" style="59" bestFit="1" customWidth="1"/>
    <col min="12" max="12" width="9.140625" style="213"/>
    <col min="13" max="14" width="9.85546875" style="7" bestFit="1" customWidth="1"/>
    <col min="15" max="15" width="10" style="7" bestFit="1" customWidth="1"/>
    <col min="16" max="16384" width="9.140625" style="7"/>
  </cols>
  <sheetData>
    <row r="1" spans="1:12" ht="15" customHeight="1"/>
    <row r="2" spans="1:12" ht="57.75" customHeight="1">
      <c r="C2" s="247" t="s">
        <v>240</v>
      </c>
      <c r="D2" s="247"/>
      <c r="E2" s="247"/>
      <c r="F2" s="247"/>
      <c r="G2" s="247"/>
      <c r="H2" s="247"/>
      <c r="I2" s="247"/>
      <c r="J2" s="247"/>
      <c r="K2" s="247"/>
    </row>
    <row r="3" spans="1:12" ht="9.75" customHeight="1">
      <c r="C3" s="64"/>
      <c r="F3" s="64"/>
      <c r="G3" s="64"/>
      <c r="H3" s="64"/>
      <c r="I3" s="64"/>
      <c r="J3" s="64"/>
      <c r="K3" s="64"/>
    </row>
    <row r="4" spans="1:12" s="62" customFormat="1" ht="47.25">
      <c r="A4" s="9"/>
      <c r="B4" s="60" t="s">
        <v>76</v>
      </c>
      <c r="C4" s="60" t="s">
        <v>77</v>
      </c>
      <c r="D4" s="3" t="s">
        <v>24</v>
      </c>
      <c r="E4" s="3" t="s">
        <v>25</v>
      </c>
      <c r="F4" s="61" t="s">
        <v>145</v>
      </c>
      <c r="G4" s="227" t="s">
        <v>146</v>
      </c>
      <c r="H4" s="227" t="s">
        <v>147</v>
      </c>
      <c r="I4" s="227" t="s">
        <v>148</v>
      </c>
      <c r="J4" s="227" t="s">
        <v>149</v>
      </c>
      <c r="K4" s="227" t="s">
        <v>150</v>
      </c>
      <c r="L4" s="214"/>
    </row>
    <row r="5" spans="1:12" s="62" customFormat="1" ht="15.75">
      <c r="A5" s="9"/>
      <c r="B5" s="127" t="s">
        <v>21</v>
      </c>
      <c r="C5" s="128"/>
      <c r="D5" s="127"/>
      <c r="E5" s="127"/>
      <c r="F5" s="129"/>
      <c r="G5" s="129"/>
      <c r="H5" s="129"/>
      <c r="I5" s="129"/>
      <c r="J5" s="129"/>
      <c r="K5" s="129"/>
      <c r="L5" s="214"/>
    </row>
    <row r="6" spans="1:12" s="126" customFormat="1" ht="45">
      <c r="A6" s="124">
        <v>1</v>
      </c>
      <c r="B6" s="134" t="s">
        <v>151</v>
      </c>
      <c r="C6" s="135" t="s">
        <v>26</v>
      </c>
      <c r="D6" s="136">
        <f>MIN(F6:K6)</f>
        <v>1</v>
      </c>
      <c r="E6" s="136">
        <f>MAX(F6:K6)</f>
        <v>1</v>
      </c>
      <c r="F6" s="136">
        <v>1</v>
      </c>
      <c r="G6" s="136">
        <v>1</v>
      </c>
      <c r="H6" s="136">
        <v>1</v>
      </c>
      <c r="I6" s="136">
        <v>1</v>
      </c>
      <c r="J6" s="136">
        <v>1</v>
      </c>
      <c r="K6" s="136">
        <v>1</v>
      </c>
      <c r="L6" s="215"/>
    </row>
    <row r="7" spans="1:12" s="126" customFormat="1" ht="30">
      <c r="A7" s="124">
        <v>3</v>
      </c>
      <c r="B7" s="134" t="s">
        <v>152</v>
      </c>
      <c r="C7" s="135" t="s">
        <v>27</v>
      </c>
      <c r="D7" s="136">
        <f>MIN(F7:K7)</f>
        <v>1</v>
      </c>
      <c r="E7" s="136">
        <f>MAX(F7:K7)</f>
        <v>1</v>
      </c>
      <c r="F7" s="138">
        <v>1</v>
      </c>
      <c r="G7" s="138">
        <v>1</v>
      </c>
      <c r="H7" s="138">
        <v>1</v>
      </c>
      <c r="I7" s="138">
        <v>1</v>
      </c>
      <c r="J7" s="138">
        <v>1</v>
      </c>
      <c r="K7" s="138">
        <v>1</v>
      </c>
      <c r="L7" s="215"/>
    </row>
    <row r="8" spans="1:12" s="126" customFormat="1" ht="30">
      <c r="A8" s="124"/>
      <c r="B8" s="201" t="s">
        <v>153</v>
      </c>
      <c r="C8" s="135" t="s">
        <v>28</v>
      </c>
      <c r="D8" s="139">
        <f>MIN(F8:K8)</f>
        <v>1.2009667224392234E-3</v>
      </c>
      <c r="E8" s="139">
        <f>MAX(F8:K8)</f>
        <v>0.25248784137673025</v>
      </c>
      <c r="F8" s="140">
        <f>ABS(Данные!F11+Данные!F12-Данные!F9-Данные!F10)/(Данные!F9+Данные!F10)</f>
        <v>2.7975067817626226E-2</v>
      </c>
      <c r="G8" s="140">
        <f>ABS(Данные!G11+Данные!G12-Данные!G9-Данные!G10)/(Данные!G9+Данные!G10)</f>
        <v>1.2009667224392234E-3</v>
      </c>
      <c r="H8" s="140">
        <f>ABS(Данные!H11+Данные!H12-Данные!H9-Данные!H10)/(Данные!H9+Данные!H10)</f>
        <v>1.3632017483950305E-2</v>
      </c>
      <c r="I8" s="140">
        <f>ABS(Данные!I11+Данные!I12-Данные!I9-Данные!I10)/(Данные!I9+Данные!I10)</f>
        <v>0.25248784137673025</v>
      </c>
      <c r="J8" s="140">
        <f>ABS(Данные!J11+Данные!J12-Данные!J9-Данные!J10)/(Данные!J9+Данные!J10)</f>
        <v>8.4114886027877936E-3</v>
      </c>
      <c r="K8" s="140">
        <f>ABS(Данные!K11+Данные!K12-Данные!K9-Данные!K10)/(Данные!K9+Данные!K10)</f>
        <v>0.2105320402429075</v>
      </c>
      <c r="L8" s="215"/>
    </row>
    <row r="9" spans="1:12" ht="35.450000000000003" customHeight="1">
      <c r="A9" s="1">
        <v>7</v>
      </c>
      <c r="B9" s="120" t="s">
        <v>154</v>
      </c>
      <c r="C9" s="121" t="s">
        <v>28</v>
      </c>
      <c r="D9" s="125"/>
      <c r="E9" s="125"/>
      <c r="F9" s="180">
        <v>38908.9</v>
      </c>
      <c r="G9" s="180">
        <v>17870</v>
      </c>
      <c r="H9" s="180">
        <v>6498</v>
      </c>
      <c r="I9" s="180">
        <v>15886</v>
      </c>
      <c r="J9" s="180">
        <v>9698.2999999999993</v>
      </c>
      <c r="K9" s="180">
        <v>10153.700000000001</v>
      </c>
    </row>
    <row r="10" spans="1:12" ht="32.450000000000003" customHeight="1">
      <c r="A10" s="1">
        <v>8</v>
      </c>
      <c r="B10" s="120" t="s">
        <v>155</v>
      </c>
      <c r="C10" s="121" t="s">
        <v>28</v>
      </c>
      <c r="D10" s="125"/>
      <c r="E10" s="125"/>
      <c r="F10" s="180">
        <v>3189.3</v>
      </c>
      <c r="G10" s="180">
        <v>9025</v>
      </c>
      <c r="H10" s="180">
        <v>823</v>
      </c>
      <c r="I10" s="180">
        <v>2825</v>
      </c>
      <c r="J10" s="180">
        <v>1572</v>
      </c>
      <c r="K10" s="180">
        <v>879.3</v>
      </c>
    </row>
    <row r="11" spans="1:12" ht="25.5">
      <c r="A11" s="1">
        <v>11</v>
      </c>
      <c r="B11" s="120" t="s">
        <v>156</v>
      </c>
      <c r="C11" s="121" t="s">
        <v>28</v>
      </c>
      <c r="D11" s="125"/>
      <c r="E11" s="125"/>
      <c r="F11" s="180">
        <v>38558.699999999997</v>
      </c>
      <c r="G11" s="180">
        <v>19891.599999999999</v>
      </c>
      <c r="H11" s="180">
        <v>6985.3</v>
      </c>
      <c r="I11" s="180">
        <v>19883.3</v>
      </c>
      <c r="J11" s="180">
        <v>9966.7999999999993</v>
      </c>
      <c r="K11" s="180">
        <v>12184.5</v>
      </c>
    </row>
    <row r="12" spans="1:12" ht="25.5">
      <c r="A12" s="1">
        <v>12</v>
      </c>
      <c r="B12" s="120" t="s">
        <v>157</v>
      </c>
      <c r="C12" s="121" t="s">
        <v>28</v>
      </c>
      <c r="D12" s="125"/>
      <c r="E12" s="125"/>
      <c r="F12" s="180">
        <v>4717.2</v>
      </c>
      <c r="G12" s="180">
        <v>6971.1</v>
      </c>
      <c r="H12" s="180">
        <v>435.5</v>
      </c>
      <c r="I12" s="180">
        <v>3552</v>
      </c>
      <c r="J12" s="180">
        <v>1208.7</v>
      </c>
      <c r="K12" s="180">
        <v>1171.3</v>
      </c>
    </row>
    <row r="13" spans="1:12" s="126" customFormat="1" ht="90">
      <c r="A13" s="124">
        <v>2</v>
      </c>
      <c r="B13" s="134" t="s">
        <v>87</v>
      </c>
      <c r="C13" s="135" t="s">
        <v>29</v>
      </c>
      <c r="D13" s="136">
        <f>MIN(F13:K13)</f>
        <v>1</v>
      </c>
      <c r="E13" s="136">
        <f>MAX(F13:K13)</f>
        <v>1</v>
      </c>
      <c r="F13" s="136">
        <v>1</v>
      </c>
      <c r="G13" s="136">
        <v>1</v>
      </c>
      <c r="H13" s="136">
        <v>1</v>
      </c>
      <c r="I13" s="136">
        <v>1</v>
      </c>
      <c r="J13" s="136">
        <v>1</v>
      </c>
      <c r="K13" s="136">
        <v>1</v>
      </c>
      <c r="L13" s="215"/>
    </row>
    <row r="14" spans="1:12" s="126" customFormat="1" ht="75">
      <c r="A14" s="124">
        <v>4</v>
      </c>
      <c r="B14" s="134" t="s">
        <v>158</v>
      </c>
      <c r="C14" s="135" t="s">
        <v>30</v>
      </c>
      <c r="D14" s="139">
        <f>MIN(F14:K14)</f>
        <v>0</v>
      </c>
      <c r="E14" s="139">
        <f>MAX(F14:K14)</f>
        <v>99.39534128723318</v>
      </c>
      <c r="F14" s="204">
        <f>F15/(F29+F32+F35+F38-F16)*100</f>
        <v>99.26677412218325</v>
      </c>
      <c r="G14" s="204">
        <f t="shared" ref="G14:K14" si="0">G15/(G29+G32+G35+G38-G16)*100</f>
        <v>97.931030152331431</v>
      </c>
      <c r="H14" s="204">
        <f t="shared" si="0"/>
        <v>97.835948229223021</v>
      </c>
      <c r="I14" s="204">
        <f t="shared" si="0"/>
        <v>99.39534128723318</v>
      </c>
      <c r="J14" s="204">
        <f>J15/(J29+J32+J35+J38-J16)*100</f>
        <v>98.29320925580663</v>
      </c>
      <c r="K14" s="204">
        <f t="shared" si="0"/>
        <v>0</v>
      </c>
      <c r="L14" s="215"/>
    </row>
    <row r="15" spans="1:12" ht="25.5">
      <c r="A15" s="1"/>
      <c r="B15" s="120" t="s">
        <v>159</v>
      </c>
      <c r="C15" s="121" t="s">
        <v>30</v>
      </c>
      <c r="D15" s="125"/>
      <c r="E15" s="125"/>
      <c r="F15" s="205">
        <v>87945.2</v>
      </c>
      <c r="G15" s="205">
        <v>93577.8</v>
      </c>
      <c r="H15" s="205">
        <v>44667.1</v>
      </c>
      <c r="I15" s="205">
        <v>26942.3</v>
      </c>
      <c r="J15" s="205">
        <v>18083.099999999999</v>
      </c>
      <c r="K15" s="205"/>
    </row>
    <row r="16" spans="1:12" ht="38.25">
      <c r="A16" s="1"/>
      <c r="B16" s="120" t="s">
        <v>160</v>
      </c>
      <c r="C16" s="121" t="s">
        <v>30</v>
      </c>
      <c r="D16" s="125"/>
      <c r="E16" s="125"/>
      <c r="F16" s="206">
        <v>22407.599999999999</v>
      </c>
      <c r="G16" s="206">
        <v>59911.8</v>
      </c>
      <c r="H16" s="206">
        <v>2050.9</v>
      </c>
      <c r="I16" s="206">
        <v>2591.5</v>
      </c>
      <c r="J16" s="206">
        <v>419.7</v>
      </c>
      <c r="K16" s="206"/>
    </row>
    <row r="17" spans="1:15" s="126" customFormat="1" ht="60">
      <c r="A17" s="124">
        <v>5</v>
      </c>
      <c r="B17" s="166" t="s">
        <v>161</v>
      </c>
      <c r="C17" s="135" t="s">
        <v>31</v>
      </c>
      <c r="D17" s="136">
        <f>MIN(F17:K17)</f>
        <v>0</v>
      </c>
      <c r="E17" s="136">
        <f>MAX(F17:K17)</f>
        <v>0</v>
      </c>
      <c r="F17" s="136">
        <v>0</v>
      </c>
      <c r="G17" s="136">
        <v>0</v>
      </c>
      <c r="H17" s="136">
        <v>0</v>
      </c>
      <c r="I17" s="136">
        <v>0</v>
      </c>
      <c r="J17" s="136">
        <v>0</v>
      </c>
      <c r="K17" s="136">
        <v>0</v>
      </c>
      <c r="L17" s="215"/>
    </row>
    <row r="18" spans="1:15" s="126" customFormat="1" ht="15.75">
      <c r="A18" s="124"/>
      <c r="B18" s="130" t="s">
        <v>22</v>
      </c>
      <c r="C18" s="131"/>
      <c r="D18" s="132"/>
      <c r="E18" s="132"/>
      <c r="F18" s="133"/>
      <c r="G18" s="133"/>
      <c r="H18" s="133"/>
      <c r="I18" s="133"/>
      <c r="J18" s="133"/>
      <c r="K18" s="133"/>
      <c r="L18" s="215"/>
    </row>
    <row r="19" spans="1:15" s="126" customFormat="1" ht="30">
      <c r="A19" s="124">
        <v>6</v>
      </c>
      <c r="B19" s="134" t="s">
        <v>162</v>
      </c>
      <c r="C19" s="135" t="s">
        <v>40</v>
      </c>
      <c r="D19" s="136">
        <f>MIN(F19:K19)</f>
        <v>4</v>
      </c>
      <c r="E19" s="136">
        <f>MAX(F19:K19)</f>
        <v>8</v>
      </c>
      <c r="F19" s="136">
        <v>4</v>
      </c>
      <c r="G19" s="136">
        <v>5</v>
      </c>
      <c r="H19" s="136">
        <v>6</v>
      </c>
      <c r="I19" s="136">
        <v>8</v>
      </c>
      <c r="J19" s="136">
        <v>4</v>
      </c>
      <c r="K19" s="136">
        <v>5</v>
      </c>
      <c r="L19" s="215"/>
    </row>
    <row r="20" spans="1:15" s="126" customFormat="1" ht="45">
      <c r="A20" s="124">
        <v>13</v>
      </c>
      <c r="B20" s="134" t="s">
        <v>163</v>
      </c>
      <c r="C20" s="135" t="s">
        <v>41</v>
      </c>
      <c r="D20" s="139">
        <f>MIN(F20:K20)</f>
        <v>103.17813277675202</v>
      </c>
      <c r="E20" s="139">
        <f>MAX(F20:K20)</f>
        <v>123.45581661037156</v>
      </c>
      <c r="F20" s="139">
        <f>F21/F22*100</f>
        <v>103.17813277675202</v>
      </c>
      <c r="G20" s="139">
        <f t="shared" ref="G20:K20" si="1">G21/G22*100</f>
        <v>110.17225145389089</v>
      </c>
      <c r="H20" s="139">
        <f t="shared" si="1"/>
        <v>105.33196616252243</v>
      </c>
      <c r="I20" s="139">
        <f t="shared" si="1"/>
        <v>123.45581661037156</v>
      </c>
      <c r="J20" s="139">
        <f t="shared" si="1"/>
        <v>109.09250117665086</v>
      </c>
      <c r="K20" s="139">
        <f t="shared" si="1"/>
        <v>115.09360890181928</v>
      </c>
      <c r="L20" s="215"/>
    </row>
    <row r="21" spans="1:15" ht="38.25">
      <c r="A21" s="1"/>
      <c r="B21" s="120" t="s">
        <v>164</v>
      </c>
      <c r="C21" s="121" t="s">
        <v>41</v>
      </c>
      <c r="D21" s="125"/>
      <c r="E21" s="125"/>
      <c r="F21" s="180">
        <v>38558.699999999997</v>
      </c>
      <c r="G21" s="180">
        <v>19891.599999999999</v>
      </c>
      <c r="H21" s="180">
        <v>6985.3</v>
      </c>
      <c r="I21" s="180">
        <v>19883.3</v>
      </c>
      <c r="J21" s="180">
        <v>9966.7999999999993</v>
      </c>
      <c r="K21" s="180">
        <v>12184.5</v>
      </c>
    </row>
    <row r="22" spans="1:15" ht="38.25">
      <c r="A22" s="1"/>
      <c r="B22" s="120" t="s">
        <v>165</v>
      </c>
      <c r="C22" s="121" t="s">
        <v>41</v>
      </c>
      <c r="D22" s="125"/>
      <c r="E22" s="125"/>
      <c r="F22" s="180">
        <v>37371</v>
      </c>
      <c r="G22" s="180">
        <v>18055</v>
      </c>
      <c r="H22" s="180">
        <v>6631.7</v>
      </c>
      <c r="I22" s="180">
        <v>16105.6</v>
      </c>
      <c r="J22" s="180">
        <v>9136.1</v>
      </c>
      <c r="K22" s="180">
        <v>10586.6</v>
      </c>
    </row>
    <row r="23" spans="1:15" s="126" customFormat="1" ht="30">
      <c r="A23" s="124">
        <v>14</v>
      </c>
      <c r="B23" s="134" t="s">
        <v>166</v>
      </c>
      <c r="C23" s="135" t="s">
        <v>42</v>
      </c>
      <c r="D23" s="139">
        <f>MIN(F23:K23)</f>
        <v>52.158200713788695</v>
      </c>
      <c r="E23" s="139">
        <f>MAX(F23:K23)</f>
        <v>226.94111516414796</v>
      </c>
      <c r="F23" s="139">
        <f>F24/F25*100</f>
        <v>99.202961031313748</v>
      </c>
      <c r="G23" s="139">
        <f t="shared" ref="G23:K23" si="2">G24/G25*100</f>
        <v>52.158200713788695</v>
      </c>
      <c r="H23" s="139">
        <f t="shared" si="2"/>
        <v>226.94111516414796</v>
      </c>
      <c r="I23" s="139">
        <f t="shared" si="2"/>
        <v>115.73048351361919</v>
      </c>
      <c r="J23" s="139">
        <f t="shared" si="2"/>
        <v>67.027116952254204</v>
      </c>
      <c r="K23" s="139">
        <f t="shared" si="2"/>
        <v>97.324470294972983</v>
      </c>
      <c r="L23" s="215"/>
    </row>
    <row r="24" spans="1:15" ht="25.5">
      <c r="A24" s="1"/>
      <c r="B24" s="120" t="s">
        <v>157</v>
      </c>
      <c r="C24" s="121" t="s">
        <v>42</v>
      </c>
      <c r="D24" s="125"/>
      <c r="E24" s="125"/>
      <c r="F24" s="180">
        <v>4717.2</v>
      </c>
      <c r="G24" s="180">
        <v>6971.1</v>
      </c>
      <c r="H24" s="180">
        <v>435.5</v>
      </c>
      <c r="I24" s="180">
        <v>3552</v>
      </c>
      <c r="J24" s="180">
        <v>1208.7</v>
      </c>
      <c r="K24" s="180">
        <v>1171.3</v>
      </c>
    </row>
    <row r="25" spans="1:15" ht="25.5">
      <c r="A25" s="1"/>
      <c r="B25" s="120" t="s">
        <v>167</v>
      </c>
      <c r="C25" s="121" t="s">
        <v>42</v>
      </c>
      <c r="D25" s="125"/>
      <c r="E25" s="125"/>
      <c r="F25" s="180">
        <v>4755.1000000000004</v>
      </c>
      <c r="G25" s="180">
        <v>13365.3</v>
      </c>
      <c r="H25" s="180">
        <v>191.9</v>
      </c>
      <c r="I25" s="180">
        <v>3069.2</v>
      </c>
      <c r="J25" s="180">
        <v>1803.3</v>
      </c>
      <c r="K25" s="180">
        <v>1203.5</v>
      </c>
    </row>
    <row r="26" spans="1:15" s="126" customFormat="1" ht="44.25" customHeight="1">
      <c r="A26" s="124">
        <v>15</v>
      </c>
      <c r="B26" s="134" t="s">
        <v>168</v>
      </c>
      <c r="C26" s="135" t="s">
        <v>43</v>
      </c>
      <c r="D26" s="136">
        <f>MIN(F26:K26)</f>
        <v>0</v>
      </c>
      <c r="E26" s="136">
        <f>MAX(F26:K26)</f>
        <v>204</v>
      </c>
      <c r="F26" s="136">
        <v>0</v>
      </c>
      <c r="G26" s="208">
        <v>0</v>
      </c>
      <c r="H26" s="136">
        <v>204</v>
      </c>
      <c r="I26" s="208">
        <v>0</v>
      </c>
      <c r="J26" s="136">
        <v>0</v>
      </c>
      <c r="K26" s="136">
        <v>0</v>
      </c>
      <c r="L26" s="213"/>
    </row>
    <row r="27" spans="1:15" s="126" customFormat="1" ht="75">
      <c r="A27" s="124"/>
      <c r="B27" s="141" t="s">
        <v>169</v>
      </c>
      <c r="C27" s="135" t="s">
        <v>44</v>
      </c>
      <c r="D27" s="139">
        <f>MIN(F27:K27)</f>
        <v>0.93782935468079587</v>
      </c>
      <c r="E27" s="139">
        <f>MAX(F27:K27)</f>
        <v>1.8595176970666218</v>
      </c>
      <c r="F27" s="139">
        <f>IFERROR(Данные!F37/AVERAGE(Данные!F28,Данные!F31,Данные!F34),0)</f>
        <v>0.9618578000113287</v>
      </c>
      <c r="G27" s="139">
        <f>IFERROR(Данные!G37/AVERAGE(Данные!G28,Данные!G31,Данные!G34),0)</f>
        <v>1.082165447104056</v>
      </c>
      <c r="H27" s="139">
        <f>IFERROR(Данные!H37/AVERAGE(Данные!H28,Данные!H31,Данные!H34),0)</f>
        <v>1.0682711866455903</v>
      </c>
      <c r="I27" s="139">
        <f>IFERROR(Данные!I37/AVERAGE(Данные!I28,Данные!I31,Данные!I34),0)</f>
        <v>1.8595176970666218</v>
      </c>
      <c r="J27" s="139">
        <f>IFERROR(Данные!J37/AVERAGE(Данные!J28,Данные!J31,Данные!J34),0)</f>
        <v>0.93782935468079587</v>
      </c>
      <c r="K27" s="139">
        <f>IFERROR(Данные!K37/AVERAGE(Данные!K28,Данные!K31,Данные!K34),0)</f>
        <v>1.1295501213365688</v>
      </c>
      <c r="L27" s="215"/>
    </row>
    <row r="28" spans="1:15" ht="61.9" customHeight="1">
      <c r="A28" s="1">
        <v>16</v>
      </c>
      <c r="B28" s="120" t="s">
        <v>170</v>
      </c>
      <c r="C28" s="121" t="s">
        <v>44</v>
      </c>
      <c r="D28" s="125"/>
      <c r="E28" s="125"/>
      <c r="F28" s="179">
        <v>17703.2</v>
      </c>
      <c r="G28" s="218">
        <v>15341.4</v>
      </c>
      <c r="H28" s="222">
        <v>7915.6</v>
      </c>
      <c r="I28" s="218">
        <v>4679.5</v>
      </c>
      <c r="J28" s="219">
        <v>3592.5</v>
      </c>
      <c r="K28" s="179">
        <v>5894.2</v>
      </c>
      <c r="N28" s="210"/>
    </row>
    <row r="29" spans="1:15" ht="25.5">
      <c r="A29" s="1"/>
      <c r="B29" s="120" t="s">
        <v>171</v>
      </c>
      <c r="C29" s="121" t="s">
        <v>44</v>
      </c>
      <c r="D29" s="125"/>
      <c r="E29" s="125"/>
      <c r="F29" s="179">
        <v>17956.8</v>
      </c>
      <c r="G29" s="218">
        <v>16233.8</v>
      </c>
      <c r="H29" s="222">
        <v>8240</v>
      </c>
      <c r="I29" s="218">
        <v>4685.7</v>
      </c>
      <c r="J29" s="219">
        <v>3673.5</v>
      </c>
      <c r="K29" s="179">
        <v>6071.6</v>
      </c>
      <c r="M29" s="210"/>
      <c r="N29" s="210"/>
    </row>
    <row r="30" spans="1:15" ht="51">
      <c r="A30" s="1"/>
      <c r="B30" s="120" t="s">
        <v>172</v>
      </c>
      <c r="C30" s="121" t="s">
        <v>44</v>
      </c>
      <c r="D30" s="125"/>
      <c r="E30" s="125"/>
      <c r="F30" s="179">
        <v>253.6</v>
      </c>
      <c r="G30" s="218">
        <v>892.4</v>
      </c>
      <c r="H30" s="222">
        <v>324.39999999999998</v>
      </c>
      <c r="I30" s="218">
        <v>6.1</v>
      </c>
      <c r="J30" s="220">
        <v>81</v>
      </c>
      <c r="K30" s="179">
        <v>177.4</v>
      </c>
      <c r="M30" s="210"/>
      <c r="N30" s="210"/>
      <c r="O30" s="210"/>
    </row>
    <row r="31" spans="1:15" ht="51">
      <c r="A31" s="1">
        <v>17</v>
      </c>
      <c r="B31" s="120" t="s">
        <v>173</v>
      </c>
      <c r="C31" s="121" t="s">
        <v>44</v>
      </c>
      <c r="D31" s="125"/>
      <c r="E31" s="125"/>
      <c r="F31" s="179">
        <v>31263.9</v>
      </c>
      <c r="G31" s="218">
        <v>27020.799999999999</v>
      </c>
      <c r="H31" s="222">
        <v>10680.1</v>
      </c>
      <c r="I31" s="218">
        <v>6151.2</v>
      </c>
      <c r="J31" s="221">
        <v>5266.5</v>
      </c>
      <c r="K31" s="179">
        <v>6907.7</v>
      </c>
    </row>
    <row r="32" spans="1:15" ht="25.5">
      <c r="A32" s="1"/>
      <c r="B32" s="120" t="s">
        <v>174</v>
      </c>
      <c r="C32" s="121" t="s">
        <v>44</v>
      </c>
      <c r="D32" s="125"/>
      <c r="E32" s="125"/>
      <c r="F32" s="179">
        <v>31911.3</v>
      </c>
      <c r="G32" s="218">
        <v>28383.200000000001</v>
      </c>
      <c r="H32" s="222">
        <v>11305.1</v>
      </c>
      <c r="I32" s="218">
        <v>6180.7</v>
      </c>
      <c r="J32" s="219">
        <v>5361.9</v>
      </c>
      <c r="K32" s="179">
        <v>7385</v>
      </c>
    </row>
    <row r="33" spans="1:15" ht="51">
      <c r="A33" s="1"/>
      <c r="B33" s="120" t="s">
        <v>175</v>
      </c>
      <c r="C33" s="121" t="s">
        <v>44</v>
      </c>
      <c r="D33" s="125"/>
      <c r="E33" s="125"/>
      <c r="F33" s="179">
        <v>647.4</v>
      </c>
      <c r="G33" s="218">
        <v>1362.4</v>
      </c>
      <c r="H33" s="222">
        <v>625.1</v>
      </c>
      <c r="I33" s="218">
        <v>29.6</v>
      </c>
      <c r="J33" s="219">
        <v>95.4</v>
      </c>
      <c r="K33" s="179">
        <v>477.3</v>
      </c>
      <c r="O33" s="212"/>
    </row>
    <row r="34" spans="1:15" ht="51">
      <c r="A34" s="1">
        <v>18</v>
      </c>
      <c r="B34" s="120" t="s">
        <v>176</v>
      </c>
      <c r="C34" s="121" t="s">
        <v>44</v>
      </c>
      <c r="D34" s="125"/>
      <c r="E34" s="125"/>
      <c r="F34" s="179">
        <v>18118.7</v>
      </c>
      <c r="G34" s="218">
        <v>26979.599999999999</v>
      </c>
      <c r="H34" s="222">
        <v>14490</v>
      </c>
      <c r="I34" s="218">
        <v>5802</v>
      </c>
      <c r="J34" s="221">
        <v>5031.8</v>
      </c>
      <c r="K34" s="179">
        <v>6483.3</v>
      </c>
      <c r="O34" s="210"/>
    </row>
    <row r="35" spans="1:15" ht="25.5">
      <c r="A35" s="1"/>
      <c r="B35" s="120" t="s">
        <v>177</v>
      </c>
      <c r="C35" s="121" t="s">
        <v>44</v>
      </c>
      <c r="D35" s="125"/>
      <c r="E35" s="125"/>
      <c r="F35" s="179">
        <v>18929.7</v>
      </c>
      <c r="G35" s="218">
        <v>31110.3</v>
      </c>
      <c r="H35" s="222">
        <v>15314.9</v>
      </c>
      <c r="I35" s="218">
        <v>5859.1</v>
      </c>
      <c r="J35" s="219">
        <v>5210.7</v>
      </c>
      <c r="K35" s="179">
        <v>6987.3</v>
      </c>
      <c r="N35" s="223"/>
      <c r="O35" s="210"/>
    </row>
    <row r="36" spans="1:15" ht="51">
      <c r="A36" s="1"/>
      <c r="B36" s="120" t="s">
        <v>178</v>
      </c>
      <c r="C36" s="121" t="s">
        <v>44</v>
      </c>
      <c r="D36" s="125"/>
      <c r="E36" s="125"/>
      <c r="F36" s="179">
        <v>811</v>
      </c>
      <c r="G36" s="218">
        <v>4130.7</v>
      </c>
      <c r="H36" s="222">
        <v>824.9</v>
      </c>
      <c r="I36" s="218">
        <v>57.1</v>
      </c>
      <c r="J36" s="219">
        <v>178.9</v>
      </c>
      <c r="K36" s="179">
        <v>503.9</v>
      </c>
      <c r="O36" s="210"/>
    </row>
    <row r="37" spans="1:15" ht="51">
      <c r="A37" s="1">
        <v>19</v>
      </c>
      <c r="B37" s="120" t="s">
        <v>179</v>
      </c>
      <c r="C37" s="121" t="s">
        <v>44</v>
      </c>
      <c r="D37" s="125"/>
      <c r="E37" s="125"/>
      <c r="F37" s="179">
        <v>21509</v>
      </c>
      <c r="G37" s="218">
        <f>G38-G39</f>
        <v>25013.100000000006</v>
      </c>
      <c r="H37" s="222">
        <v>11781.5</v>
      </c>
      <c r="I37" s="218">
        <v>10309.6</v>
      </c>
      <c r="J37" s="221">
        <v>4342.3999999999996</v>
      </c>
      <c r="K37" s="179">
        <v>7261.2</v>
      </c>
    </row>
    <row r="38" spans="1:15" ht="25.5">
      <c r="A38" s="1"/>
      <c r="B38" s="120" t="s">
        <v>180</v>
      </c>
      <c r="C38" s="121" t="s">
        <v>44</v>
      </c>
      <c r="D38" s="125"/>
      <c r="E38" s="125"/>
      <c r="F38" s="179">
        <v>42204.6</v>
      </c>
      <c r="G38" s="218">
        <v>79739.3</v>
      </c>
      <c r="H38" s="222">
        <v>12846</v>
      </c>
      <c r="I38" s="218">
        <v>12972.2</v>
      </c>
      <c r="J38" s="219">
        <v>4570.7</v>
      </c>
      <c r="K38" s="179">
        <v>9188.6</v>
      </c>
    </row>
    <row r="39" spans="1:15" ht="51">
      <c r="A39" s="1"/>
      <c r="B39" s="120" t="s">
        <v>181</v>
      </c>
      <c r="C39" s="121" t="s">
        <v>44</v>
      </c>
      <c r="D39" s="125"/>
      <c r="E39" s="125"/>
      <c r="F39" s="179">
        <v>20695.599999999999</v>
      </c>
      <c r="G39" s="218">
        <v>54726.2</v>
      </c>
      <c r="H39" s="222">
        <v>1064.5</v>
      </c>
      <c r="I39" s="218">
        <v>2662.6</v>
      </c>
      <c r="J39" s="219">
        <v>228.4</v>
      </c>
      <c r="K39" s="179">
        <v>1927.4</v>
      </c>
    </row>
    <row r="40" spans="1:15" s="126" customFormat="1" ht="90">
      <c r="A40" s="124">
        <v>20</v>
      </c>
      <c r="B40" s="134" t="s">
        <v>182</v>
      </c>
      <c r="C40" s="135" t="s">
        <v>45</v>
      </c>
      <c r="D40" s="139">
        <f>MIN(F40:K40)</f>
        <v>0</v>
      </c>
      <c r="E40" s="139">
        <f>MAX(F40:K40)</f>
        <v>0.190785064106722</v>
      </c>
      <c r="F40" s="139">
        <f>F41/(F38+F35+F32+F29)</f>
        <v>0.190785064106722</v>
      </c>
      <c r="G40" s="139">
        <f t="shared" ref="G40:K40" si="3">G41/(G38+G35+G32+G29)</f>
        <v>3.8707349359926826E-2</v>
      </c>
      <c r="H40" s="139">
        <f t="shared" si="3"/>
        <v>0.13467069131765397</v>
      </c>
      <c r="I40" s="139">
        <f t="shared" si="3"/>
        <v>0</v>
      </c>
      <c r="J40" s="139">
        <f t="shared" si="3"/>
        <v>0</v>
      </c>
      <c r="K40" s="139">
        <f t="shared" si="3"/>
        <v>0</v>
      </c>
      <c r="L40" s="215"/>
    </row>
    <row r="41" spans="1:15" ht="63.75">
      <c r="A41" s="1"/>
      <c r="B41" s="120" t="s">
        <v>183</v>
      </c>
      <c r="C41" s="121" t="s">
        <v>45</v>
      </c>
      <c r="D41" s="125"/>
      <c r="E41" s="125"/>
      <c r="F41" s="180">
        <v>21177.599999999999</v>
      </c>
      <c r="G41" s="180">
        <v>6017.7</v>
      </c>
      <c r="H41" s="180">
        <v>6424.6</v>
      </c>
      <c r="I41" s="180">
        <v>0</v>
      </c>
      <c r="J41" s="180">
        <v>0</v>
      </c>
      <c r="K41" s="180">
        <v>0</v>
      </c>
    </row>
    <row r="42" spans="1:15" s="126" customFormat="1" ht="45">
      <c r="A42" s="124">
        <v>21</v>
      </c>
      <c r="B42" s="134" t="s">
        <v>184</v>
      </c>
      <c r="C42" s="135" t="s">
        <v>46</v>
      </c>
      <c r="D42" s="136">
        <f>MIN(F42:K42)</f>
        <v>1</v>
      </c>
      <c r="E42" s="136">
        <f>MAX(F42:K42)</f>
        <v>1</v>
      </c>
      <c r="F42" s="136">
        <v>1</v>
      </c>
      <c r="G42" s="136">
        <v>1</v>
      </c>
      <c r="H42" s="136">
        <v>1</v>
      </c>
      <c r="I42" s="136">
        <v>1</v>
      </c>
      <c r="J42" s="136">
        <v>1</v>
      </c>
      <c r="K42" s="136">
        <v>1</v>
      </c>
      <c r="L42" s="215"/>
    </row>
    <row r="43" spans="1:15" ht="45">
      <c r="A43" s="1">
        <v>22</v>
      </c>
      <c r="B43" s="134" t="s">
        <v>185</v>
      </c>
      <c r="C43" s="135" t="s">
        <v>47</v>
      </c>
      <c r="D43" s="136">
        <f>MIN(F43:K43)</f>
        <v>1</v>
      </c>
      <c r="E43" s="136">
        <f>MAX(F43:K43)</f>
        <v>1</v>
      </c>
      <c r="F43" s="136">
        <v>1</v>
      </c>
      <c r="G43" s="136">
        <v>1</v>
      </c>
      <c r="H43" s="136">
        <v>1</v>
      </c>
      <c r="I43" s="136">
        <v>1</v>
      </c>
      <c r="J43" s="136">
        <v>1</v>
      </c>
      <c r="K43" s="136">
        <v>1</v>
      </c>
    </row>
    <row r="44" spans="1:15" ht="30">
      <c r="A44" s="1">
        <v>23</v>
      </c>
      <c r="B44" s="134" t="s">
        <v>186</v>
      </c>
      <c r="C44" s="135" t="s">
        <v>48</v>
      </c>
      <c r="D44" s="136">
        <f>MIN(F44:K44)</f>
        <v>0</v>
      </c>
      <c r="E44" s="136">
        <f>MAX(F44:K44)</f>
        <v>1</v>
      </c>
      <c r="F44" s="136">
        <v>0</v>
      </c>
      <c r="G44" s="136">
        <v>0</v>
      </c>
      <c r="H44" s="136">
        <v>0</v>
      </c>
      <c r="I44" s="136">
        <v>1</v>
      </c>
      <c r="J44" s="136">
        <v>0</v>
      </c>
      <c r="K44" s="136">
        <v>1</v>
      </c>
    </row>
    <row r="45" spans="1:15" ht="60">
      <c r="A45" s="1">
        <v>24</v>
      </c>
      <c r="B45" s="134" t="s">
        <v>127</v>
      </c>
      <c r="C45" s="135" t="s">
        <v>49</v>
      </c>
      <c r="D45" s="136">
        <f>MIN(F45:K45)</f>
        <v>0</v>
      </c>
      <c r="E45" s="136">
        <f>MAX(F45:K45)</f>
        <v>0</v>
      </c>
      <c r="F45" s="207">
        <v>0</v>
      </c>
      <c r="G45" s="207">
        <v>0</v>
      </c>
      <c r="H45" s="207">
        <v>0</v>
      </c>
      <c r="I45" s="207">
        <v>0</v>
      </c>
      <c r="J45" s="207">
        <v>0</v>
      </c>
      <c r="K45" s="207">
        <v>0</v>
      </c>
    </row>
    <row r="46" spans="1:15" ht="15.75">
      <c r="A46" s="1"/>
      <c r="B46" s="142" t="s">
        <v>23</v>
      </c>
      <c r="C46" s="131"/>
      <c r="D46" s="132"/>
      <c r="E46" s="132"/>
      <c r="F46" s="143"/>
      <c r="G46" s="143"/>
      <c r="H46" s="143"/>
      <c r="I46" s="143"/>
      <c r="J46" s="143"/>
      <c r="K46" s="143"/>
    </row>
    <row r="47" spans="1:15" ht="35.25" customHeight="1">
      <c r="A47" s="1">
        <v>26</v>
      </c>
      <c r="B47" s="134" t="s">
        <v>103</v>
      </c>
      <c r="C47" s="135" t="s">
        <v>50</v>
      </c>
      <c r="D47" s="136">
        <f>MIN(F47:K47)</f>
        <v>1</v>
      </c>
      <c r="E47" s="136">
        <f>MAX(F47:K47)</f>
        <v>1</v>
      </c>
      <c r="F47" s="136">
        <v>1</v>
      </c>
      <c r="G47" s="136">
        <v>1</v>
      </c>
      <c r="H47" s="136">
        <v>1</v>
      </c>
      <c r="I47" s="136">
        <v>1</v>
      </c>
      <c r="J47" s="136">
        <v>1</v>
      </c>
      <c r="K47" s="136">
        <v>1</v>
      </c>
    </row>
    <row r="48" spans="1:15" ht="30">
      <c r="A48" s="1"/>
      <c r="B48" s="134" t="s">
        <v>187</v>
      </c>
      <c r="C48" s="135" t="s">
        <v>51</v>
      </c>
      <c r="D48" s="136">
        <f>MIN(F48:K48)</f>
        <v>1</v>
      </c>
      <c r="E48" s="136">
        <f>MAX(F48:K48)</f>
        <v>1</v>
      </c>
      <c r="F48" s="136">
        <v>1</v>
      </c>
      <c r="G48" s="136">
        <v>1</v>
      </c>
      <c r="H48" s="136">
        <v>1</v>
      </c>
      <c r="I48" s="136">
        <v>1</v>
      </c>
      <c r="J48" s="136">
        <v>1</v>
      </c>
      <c r="K48" s="136">
        <v>1</v>
      </c>
    </row>
    <row r="49" spans="1:12" ht="35.25" customHeight="1">
      <c r="A49" s="1"/>
      <c r="B49" s="134" t="s">
        <v>80</v>
      </c>
      <c r="C49" s="135" t="s">
        <v>81</v>
      </c>
      <c r="D49" s="139">
        <f>MIN(F49:K49)</f>
        <v>0</v>
      </c>
      <c r="E49" s="139">
        <f>MAX(F49:K49)</f>
        <v>0</v>
      </c>
      <c r="F49" s="139">
        <f>IFERROR(Данные!F50/(Данные!F51),0)</f>
        <v>0</v>
      </c>
      <c r="G49" s="139">
        <f>IFERROR(Данные!G50/(Данные!G51),0)</f>
        <v>0</v>
      </c>
      <c r="H49" s="139">
        <f>IFERROR(Данные!H50/(Данные!H51),0)</f>
        <v>0</v>
      </c>
      <c r="I49" s="139">
        <f>IFERROR(Данные!I50/(Данные!I51),0)</f>
        <v>0</v>
      </c>
      <c r="J49" s="139">
        <f>IFERROR(Данные!J50/(Данные!J51),0)</f>
        <v>0</v>
      </c>
      <c r="K49" s="139">
        <f>IFERROR(Данные!K50/(Данные!K51),0)</f>
        <v>0</v>
      </c>
    </row>
    <row r="50" spans="1:12" ht="25.5">
      <c r="A50" s="1">
        <v>25</v>
      </c>
      <c r="B50" s="120" t="s">
        <v>188</v>
      </c>
      <c r="C50" s="121" t="s">
        <v>81</v>
      </c>
      <c r="D50" s="125"/>
      <c r="E50" s="125"/>
      <c r="F50" s="180">
        <v>0</v>
      </c>
      <c r="G50" s="180">
        <v>0</v>
      </c>
      <c r="H50" s="180">
        <v>0</v>
      </c>
      <c r="I50" s="180">
        <v>0</v>
      </c>
      <c r="J50" s="180">
        <v>0</v>
      </c>
      <c r="K50" s="180">
        <v>0</v>
      </c>
    </row>
    <row r="51" spans="1:12" ht="29.25" customHeight="1">
      <c r="A51" s="1"/>
      <c r="B51" s="120" t="s">
        <v>189</v>
      </c>
      <c r="C51" s="121" t="s">
        <v>81</v>
      </c>
      <c r="D51" s="125"/>
      <c r="E51" s="125"/>
      <c r="F51" s="180">
        <v>109692.6</v>
      </c>
      <c r="G51" s="180">
        <v>156470.9</v>
      </c>
      <c r="H51" s="180">
        <v>45713.7</v>
      </c>
      <c r="I51" s="180">
        <v>31015.599999999999</v>
      </c>
      <c r="J51" s="180">
        <v>18613.099999999999</v>
      </c>
      <c r="K51" s="180">
        <v>31801.4</v>
      </c>
    </row>
    <row r="52" spans="1:12" s="146" customFormat="1" ht="15.75">
      <c r="A52" s="144"/>
      <c r="B52" s="127" t="s">
        <v>118</v>
      </c>
      <c r="C52" s="131"/>
      <c r="D52" s="145"/>
      <c r="E52" s="145"/>
      <c r="F52" s="145"/>
      <c r="G52" s="145"/>
      <c r="H52" s="145"/>
      <c r="I52" s="145"/>
      <c r="J52" s="145"/>
      <c r="K52" s="145"/>
      <c r="L52" s="213"/>
    </row>
    <row r="53" spans="1:12" s="126" customFormat="1" ht="48" customHeight="1">
      <c r="A53" s="124">
        <v>27</v>
      </c>
      <c r="B53" s="134" t="s">
        <v>119</v>
      </c>
      <c r="C53" s="135" t="s">
        <v>52</v>
      </c>
      <c r="D53" s="139">
        <f>MIN(F53:K53)</f>
        <v>0</v>
      </c>
      <c r="E53" s="139">
        <f>MAX(F53:K53)</f>
        <v>0</v>
      </c>
      <c r="F53" s="139">
        <f>F54/F55</f>
        <v>0</v>
      </c>
      <c r="G53" s="139">
        <f t="shared" ref="G53:K53" si="4">G54/G55</f>
        <v>0</v>
      </c>
      <c r="H53" s="139">
        <f t="shared" si="4"/>
        <v>0</v>
      </c>
      <c r="I53" s="139">
        <f t="shared" si="4"/>
        <v>0</v>
      </c>
      <c r="J53" s="139">
        <f t="shared" si="4"/>
        <v>0</v>
      </c>
      <c r="K53" s="139">
        <f t="shared" si="4"/>
        <v>0</v>
      </c>
      <c r="L53" s="215"/>
    </row>
    <row r="54" spans="1:12" s="126" customFormat="1" ht="48" customHeight="1">
      <c r="A54" s="124"/>
      <c r="B54" s="159" t="s">
        <v>190</v>
      </c>
      <c r="C54" s="167" t="s">
        <v>52</v>
      </c>
      <c r="D54" s="125"/>
      <c r="E54" s="125"/>
      <c r="F54" s="125"/>
      <c r="G54" s="125"/>
      <c r="H54" s="125"/>
      <c r="I54" s="125"/>
      <c r="J54" s="125"/>
      <c r="K54" s="125"/>
      <c r="L54" s="215"/>
    </row>
    <row r="55" spans="1:12" s="126" customFormat="1" ht="27.75" customHeight="1">
      <c r="A55" s="124"/>
      <c r="B55" s="159" t="s">
        <v>191</v>
      </c>
      <c r="C55" s="167" t="s">
        <v>52</v>
      </c>
      <c r="D55" s="125"/>
      <c r="E55" s="125"/>
      <c r="F55" s="125">
        <v>1</v>
      </c>
      <c r="G55" s="125">
        <v>2</v>
      </c>
      <c r="H55" s="125">
        <v>1</v>
      </c>
      <c r="I55" s="125">
        <v>2</v>
      </c>
      <c r="J55" s="125">
        <v>2</v>
      </c>
      <c r="K55" s="125">
        <v>1</v>
      </c>
      <c r="L55" s="215"/>
    </row>
    <row r="56" spans="1:12" s="126" customFormat="1" ht="75">
      <c r="A56" s="124">
        <v>28</v>
      </c>
      <c r="B56" s="134" t="s">
        <v>192</v>
      </c>
      <c r="C56" s="135" t="s">
        <v>53</v>
      </c>
      <c r="D56" s="136">
        <f>MIN(F56:K56)</f>
        <v>0</v>
      </c>
      <c r="E56" s="136">
        <f>MAX(F56:K56)</f>
        <v>0</v>
      </c>
      <c r="F56" s="208">
        <v>0</v>
      </c>
      <c r="G56" s="208">
        <v>0</v>
      </c>
      <c r="H56" s="208">
        <v>0</v>
      </c>
      <c r="I56" s="208">
        <v>0</v>
      </c>
      <c r="J56" s="208">
        <v>0</v>
      </c>
      <c r="K56" s="208">
        <v>0</v>
      </c>
      <c r="L56" s="215"/>
    </row>
    <row r="57" spans="1:12" s="126" customFormat="1" ht="75">
      <c r="A57" s="124">
        <v>29</v>
      </c>
      <c r="B57" s="134" t="s">
        <v>193</v>
      </c>
      <c r="C57" s="135" t="s">
        <v>54</v>
      </c>
      <c r="D57" s="136">
        <f>MIN(F57:K57)</f>
        <v>0</v>
      </c>
      <c r="E57" s="136">
        <f>MAX(F57:K57)</f>
        <v>1</v>
      </c>
      <c r="F57" s="208">
        <v>0</v>
      </c>
      <c r="G57" s="208">
        <v>1</v>
      </c>
      <c r="H57" s="208">
        <v>0</v>
      </c>
      <c r="I57" s="208">
        <v>1</v>
      </c>
      <c r="J57" s="208">
        <v>1</v>
      </c>
      <c r="K57" s="208">
        <v>0</v>
      </c>
      <c r="L57" s="215"/>
    </row>
    <row r="58" spans="1:12" s="126" customFormat="1" ht="60">
      <c r="A58" s="124">
        <v>30</v>
      </c>
      <c r="B58" s="134" t="s">
        <v>120</v>
      </c>
      <c r="C58" s="135" t="s">
        <v>55</v>
      </c>
      <c r="D58" s="139" t="e">
        <f>MIN(F58:K58)</f>
        <v>#DIV/0!</v>
      </c>
      <c r="E58" s="139" t="e">
        <f>MAX(F58:K58)</f>
        <v>#DIV/0!</v>
      </c>
      <c r="F58" s="139" t="e">
        <f>F59/F60</f>
        <v>#DIV/0!</v>
      </c>
      <c r="G58" s="139">
        <f t="shared" ref="G58:K58" si="5">G59/G60</f>
        <v>0</v>
      </c>
      <c r="H58" s="139">
        <v>0</v>
      </c>
      <c r="I58" s="139">
        <v>0</v>
      </c>
      <c r="J58" s="139" t="e">
        <f t="shared" si="5"/>
        <v>#DIV/0!</v>
      </c>
      <c r="K58" s="139" t="e">
        <f t="shared" si="5"/>
        <v>#DIV/0!</v>
      </c>
      <c r="L58" s="215"/>
    </row>
    <row r="59" spans="1:12" ht="51">
      <c r="A59" s="1"/>
      <c r="B59" s="120" t="s">
        <v>194</v>
      </c>
      <c r="C59" s="121" t="s">
        <v>55</v>
      </c>
      <c r="D59" s="125"/>
      <c r="E59" s="125"/>
      <c r="F59" s="180">
        <v>0</v>
      </c>
      <c r="G59" s="180">
        <v>0</v>
      </c>
      <c r="H59" s="180">
        <v>0</v>
      </c>
      <c r="I59" s="180">
        <v>0</v>
      </c>
      <c r="J59" s="180">
        <v>0</v>
      </c>
      <c r="K59" s="180">
        <v>0</v>
      </c>
    </row>
    <row r="60" spans="1:12" ht="25.5">
      <c r="A60" s="1"/>
      <c r="B60" s="120" t="s">
        <v>121</v>
      </c>
      <c r="C60" s="121" t="s">
        <v>55</v>
      </c>
      <c r="D60" s="125"/>
      <c r="E60" s="125"/>
      <c r="F60" s="180">
        <v>0</v>
      </c>
      <c r="G60" s="180">
        <v>1</v>
      </c>
      <c r="H60" s="180">
        <v>0</v>
      </c>
      <c r="I60" s="180">
        <v>1</v>
      </c>
      <c r="J60" s="180">
        <v>0</v>
      </c>
      <c r="K60" s="180">
        <v>0</v>
      </c>
    </row>
    <row r="61" spans="1:12" s="126" customFormat="1" ht="60">
      <c r="A61" s="124">
        <v>31</v>
      </c>
      <c r="B61" s="134" t="s">
        <v>195</v>
      </c>
      <c r="C61" s="135" t="s">
        <v>56</v>
      </c>
      <c r="D61" s="139" t="e">
        <f>MIN(F61:K61)</f>
        <v>#DIV/0!</v>
      </c>
      <c r="E61" s="139" t="e">
        <f>MAX(F61:K61)</f>
        <v>#DIV/0!</v>
      </c>
      <c r="F61" s="139" t="e">
        <f>F62/F63*100</f>
        <v>#DIV/0!</v>
      </c>
      <c r="G61" s="139">
        <f t="shared" ref="G61:K61" si="6">G62/G63*100</f>
        <v>0</v>
      </c>
      <c r="H61" s="139">
        <v>0</v>
      </c>
      <c r="I61" s="139">
        <v>0</v>
      </c>
      <c r="J61" s="139" t="e">
        <f t="shared" si="6"/>
        <v>#DIV/0!</v>
      </c>
      <c r="K61" s="139" t="e">
        <f t="shared" si="6"/>
        <v>#DIV/0!</v>
      </c>
      <c r="L61" s="215"/>
    </row>
    <row r="62" spans="1:12" ht="25.5">
      <c r="A62" s="1"/>
      <c r="B62" s="120" t="s">
        <v>196</v>
      </c>
      <c r="C62" s="121" t="s">
        <v>56</v>
      </c>
      <c r="D62" s="125"/>
      <c r="E62" s="125"/>
      <c r="F62" s="209">
        <v>0</v>
      </c>
      <c r="G62" s="224">
        <v>0</v>
      </c>
      <c r="H62" s="209">
        <v>0</v>
      </c>
      <c r="I62" s="209">
        <v>0</v>
      </c>
      <c r="J62" s="209">
        <v>0</v>
      </c>
      <c r="K62" s="209">
        <v>0</v>
      </c>
    </row>
    <row r="63" spans="1:12" ht="25.5">
      <c r="A63" s="1"/>
      <c r="B63" s="120" t="s">
        <v>121</v>
      </c>
      <c r="C63" s="121" t="s">
        <v>56</v>
      </c>
      <c r="D63" s="125"/>
      <c r="E63" s="125"/>
      <c r="F63" s="180">
        <v>0</v>
      </c>
      <c r="G63" s="180">
        <v>1</v>
      </c>
      <c r="H63" s="180">
        <v>0</v>
      </c>
      <c r="I63" s="180">
        <v>0</v>
      </c>
      <c r="J63" s="180">
        <v>0</v>
      </c>
      <c r="K63" s="180">
        <v>0</v>
      </c>
    </row>
    <row r="64" spans="1:12" ht="45">
      <c r="A64" s="1">
        <v>32</v>
      </c>
      <c r="B64" s="134" t="s">
        <v>122</v>
      </c>
      <c r="C64" s="135" t="s">
        <v>57</v>
      </c>
      <c r="D64" s="136">
        <f>MIN(F64:K64)</f>
        <v>0</v>
      </c>
      <c r="E64" s="136">
        <f>MAX(F64:K64)</f>
        <v>0</v>
      </c>
      <c r="F64" s="136">
        <v>0</v>
      </c>
      <c r="G64" s="136">
        <v>0</v>
      </c>
      <c r="H64" s="136">
        <v>0</v>
      </c>
      <c r="I64" s="136">
        <v>0</v>
      </c>
      <c r="J64" s="136">
        <v>0</v>
      </c>
      <c r="K64" s="136">
        <v>0</v>
      </c>
    </row>
    <row r="65" spans="1:14" ht="60">
      <c r="A65" s="1"/>
      <c r="B65" s="134" t="s">
        <v>197</v>
      </c>
      <c r="C65" s="135" t="s">
        <v>58</v>
      </c>
      <c r="D65" s="137">
        <f>MIN(F65:K65)</f>
        <v>0</v>
      </c>
      <c r="E65" s="137">
        <f>MAX(F65:K65)</f>
        <v>1</v>
      </c>
      <c r="F65" s="208">
        <v>0</v>
      </c>
      <c r="G65" s="136">
        <v>1</v>
      </c>
      <c r="H65" s="136">
        <v>0</v>
      </c>
      <c r="I65" s="136">
        <v>0</v>
      </c>
      <c r="J65" s="136">
        <v>0</v>
      </c>
      <c r="K65" s="136">
        <v>0</v>
      </c>
    </row>
    <row r="66" spans="1:14" ht="75">
      <c r="A66" s="1"/>
      <c r="B66" s="134" t="s">
        <v>198</v>
      </c>
      <c r="C66" s="135" t="s">
        <v>101</v>
      </c>
      <c r="D66" s="139">
        <f>MIN(F66:K66)</f>
        <v>0</v>
      </c>
      <c r="E66" s="139">
        <f>MAX(F66:K66)</f>
        <v>0</v>
      </c>
      <c r="F66" s="139">
        <v>0</v>
      </c>
      <c r="G66" s="139">
        <v>0</v>
      </c>
      <c r="H66" s="139">
        <v>0</v>
      </c>
      <c r="I66" s="139">
        <v>0</v>
      </c>
      <c r="J66" s="139">
        <v>0</v>
      </c>
      <c r="K66" s="139">
        <v>0</v>
      </c>
    </row>
    <row r="67" spans="1:14" ht="63.75">
      <c r="A67" s="1"/>
      <c r="B67" s="120" t="s">
        <v>199</v>
      </c>
      <c r="C67" s="167" t="s">
        <v>101</v>
      </c>
      <c r="D67" s="125"/>
      <c r="E67" s="125"/>
      <c r="F67" s="180">
        <v>0</v>
      </c>
      <c r="G67" s="180">
        <v>0</v>
      </c>
      <c r="H67" s="180">
        <v>0</v>
      </c>
      <c r="I67" s="180">
        <v>0</v>
      </c>
      <c r="J67" s="180">
        <v>0</v>
      </c>
      <c r="K67" s="180">
        <v>0</v>
      </c>
    </row>
    <row r="68" spans="1:14" ht="51">
      <c r="A68" s="1"/>
      <c r="B68" s="120" t="s">
        <v>200</v>
      </c>
      <c r="C68" s="167" t="s">
        <v>101</v>
      </c>
      <c r="D68" s="125"/>
      <c r="E68" s="125"/>
      <c r="F68" s="180">
        <v>0</v>
      </c>
      <c r="G68" s="180">
        <v>0</v>
      </c>
      <c r="H68" s="180">
        <v>0</v>
      </c>
      <c r="I68" s="180">
        <v>0</v>
      </c>
      <c r="J68" s="180">
        <v>0</v>
      </c>
      <c r="K68" s="180">
        <v>0</v>
      </c>
    </row>
    <row r="69" spans="1:14" ht="15.75">
      <c r="A69" s="1"/>
      <c r="B69" s="142" t="s">
        <v>93</v>
      </c>
      <c r="C69" s="147"/>
      <c r="D69" s="132"/>
      <c r="E69" s="132"/>
      <c r="F69" s="132"/>
      <c r="G69" s="132"/>
      <c r="H69" s="132"/>
      <c r="I69" s="132"/>
      <c r="J69" s="132"/>
      <c r="K69" s="132"/>
    </row>
    <row r="70" spans="1:14" ht="45">
      <c r="A70" s="1">
        <v>36</v>
      </c>
      <c r="B70" s="134" t="s">
        <v>201</v>
      </c>
      <c r="C70" s="135" t="s">
        <v>59</v>
      </c>
      <c r="D70" s="136">
        <f>MIN(F70:K70)</f>
        <v>1</v>
      </c>
      <c r="E70" s="136">
        <f>MAX(F70:K70)</f>
        <v>1</v>
      </c>
      <c r="F70" s="136">
        <v>1</v>
      </c>
      <c r="G70" s="136">
        <v>1</v>
      </c>
      <c r="H70" s="136">
        <v>1</v>
      </c>
      <c r="I70" s="136">
        <v>1</v>
      </c>
      <c r="J70" s="136">
        <v>1</v>
      </c>
      <c r="K70" s="136">
        <v>1</v>
      </c>
    </row>
    <row r="71" spans="1:14" ht="45">
      <c r="A71" s="1">
        <v>37</v>
      </c>
      <c r="B71" s="134" t="s">
        <v>202</v>
      </c>
      <c r="C71" s="135" t="s">
        <v>60</v>
      </c>
      <c r="D71" s="136">
        <f>MIN(F71:K71)</f>
        <v>0</v>
      </c>
      <c r="E71" s="136">
        <f>MAX(F71:K71)</f>
        <v>1</v>
      </c>
      <c r="F71" s="136">
        <v>1</v>
      </c>
      <c r="G71" s="136">
        <v>1</v>
      </c>
      <c r="H71" s="136">
        <v>0</v>
      </c>
      <c r="I71" s="136">
        <v>1</v>
      </c>
      <c r="J71" s="136">
        <v>1</v>
      </c>
      <c r="K71" s="136">
        <v>0</v>
      </c>
    </row>
    <row r="72" spans="1:14" ht="60">
      <c r="A72" s="1">
        <v>38</v>
      </c>
      <c r="B72" s="134" t="s">
        <v>203</v>
      </c>
      <c r="C72" s="135" t="s">
        <v>61</v>
      </c>
      <c r="D72" s="136">
        <f>MIN(F72:K72)</f>
        <v>0.14285714285714285</v>
      </c>
      <c r="E72" s="136">
        <f>MAX(F72:K72)</f>
        <v>0.5714285714285714</v>
      </c>
      <c r="F72" s="136">
        <f>F73/7</f>
        <v>0.2857142857142857</v>
      </c>
      <c r="G72" s="136">
        <f t="shared" ref="G72:K72" si="7">G73/7</f>
        <v>0.5714285714285714</v>
      </c>
      <c r="H72" s="136">
        <f t="shared" si="7"/>
        <v>0.2857142857142857</v>
      </c>
      <c r="I72" s="136">
        <f t="shared" si="7"/>
        <v>0.42857142857142855</v>
      </c>
      <c r="J72" s="136">
        <f t="shared" si="7"/>
        <v>0.42857142857142855</v>
      </c>
      <c r="K72" s="136">
        <f t="shared" si="7"/>
        <v>0.14285714285714285</v>
      </c>
    </row>
    <row r="73" spans="1:14" ht="60">
      <c r="A73" s="1"/>
      <c r="B73" s="159" t="s">
        <v>128</v>
      </c>
      <c r="C73" s="167" t="s">
        <v>61</v>
      </c>
      <c r="D73" s="125"/>
      <c r="E73" s="125"/>
      <c r="F73" s="125">
        <f>F13+F45+F56+F57+F64+F65+F75</f>
        <v>2</v>
      </c>
      <c r="G73" s="125">
        <f>G13+G45+G56+G57+G64+G65+G75</f>
        <v>4</v>
      </c>
      <c r="H73" s="125">
        <f t="shared" ref="H73:K73" si="8">H13+H45+H56+H57+H64+H65+H75</f>
        <v>2</v>
      </c>
      <c r="I73" s="125">
        <f>I13+I45+I56+I57+I64+I65+I75</f>
        <v>3</v>
      </c>
      <c r="J73" s="125">
        <f>J13+J45+J56+J57+J64+J65+J75</f>
        <v>3</v>
      </c>
      <c r="K73" s="125">
        <f t="shared" si="8"/>
        <v>1</v>
      </c>
      <c r="N73" s="7" t="s">
        <v>242</v>
      </c>
    </row>
    <row r="74" spans="1:14" ht="64.5" customHeight="1">
      <c r="A74" s="1">
        <v>39</v>
      </c>
      <c r="B74" s="134" t="s">
        <v>204</v>
      </c>
      <c r="C74" s="135" t="s">
        <v>62</v>
      </c>
      <c r="D74" s="136">
        <f>MIN(F74:K74)</f>
        <v>0</v>
      </c>
      <c r="E74" s="136">
        <f>MAX(F74:K74)</f>
        <v>1</v>
      </c>
      <c r="F74" s="136">
        <v>1</v>
      </c>
      <c r="G74" s="136">
        <v>1</v>
      </c>
      <c r="H74" s="136">
        <v>1</v>
      </c>
      <c r="I74" s="136">
        <v>1</v>
      </c>
      <c r="J74" s="136">
        <v>0</v>
      </c>
      <c r="K74" s="136">
        <v>1</v>
      </c>
    </row>
    <row r="75" spans="1:14" ht="60">
      <c r="A75" s="1">
        <v>40</v>
      </c>
      <c r="B75" s="134" t="s">
        <v>205</v>
      </c>
      <c r="C75" s="135" t="s">
        <v>63</v>
      </c>
      <c r="D75" s="136">
        <f>MIN(F75:K75)</f>
        <v>0</v>
      </c>
      <c r="E75" s="136">
        <f>MAX(F75:K75)</f>
        <v>1</v>
      </c>
      <c r="F75" s="136">
        <v>1</v>
      </c>
      <c r="G75" s="136">
        <v>1</v>
      </c>
      <c r="H75" s="136">
        <v>1</v>
      </c>
      <c r="I75" s="136">
        <v>1</v>
      </c>
      <c r="J75" s="136">
        <v>1</v>
      </c>
      <c r="K75" s="136">
        <v>0</v>
      </c>
    </row>
    <row r="76" spans="1:14" ht="90">
      <c r="A76" s="1">
        <v>41</v>
      </c>
      <c r="B76" s="134" t="s">
        <v>206</v>
      </c>
      <c r="C76" s="135" t="s">
        <v>74</v>
      </c>
      <c r="D76" s="136">
        <f>MIN(F76:K76)</f>
        <v>0</v>
      </c>
      <c r="E76" s="136">
        <f>MAX(F76:K76)</f>
        <v>1</v>
      </c>
      <c r="F76" s="136">
        <v>1</v>
      </c>
      <c r="G76" s="136">
        <v>1</v>
      </c>
      <c r="H76" s="136">
        <v>1</v>
      </c>
      <c r="I76" s="136">
        <v>1</v>
      </c>
      <c r="J76" s="136">
        <v>1</v>
      </c>
      <c r="K76" s="136">
        <v>0</v>
      </c>
    </row>
    <row r="77" spans="1:14" ht="45">
      <c r="A77" s="1">
        <v>42</v>
      </c>
      <c r="B77" s="134" t="s">
        <v>207</v>
      </c>
      <c r="C77" s="135" t="s">
        <v>75</v>
      </c>
      <c r="D77" s="136">
        <f>MIN(F77:K77)</f>
        <v>1</v>
      </c>
      <c r="E77" s="136">
        <f>MAX(F77:K77)</f>
        <v>1</v>
      </c>
      <c r="F77" s="136">
        <v>1</v>
      </c>
      <c r="G77" s="136">
        <v>1</v>
      </c>
      <c r="H77" s="136">
        <v>1</v>
      </c>
      <c r="I77" s="136">
        <v>1</v>
      </c>
      <c r="J77" s="136">
        <v>1</v>
      </c>
      <c r="K77" s="136">
        <v>1</v>
      </c>
    </row>
    <row r="78" spans="1:14" ht="45">
      <c r="A78" s="1">
        <v>10</v>
      </c>
      <c r="B78" s="134" t="s">
        <v>129</v>
      </c>
      <c r="C78" s="135" t="s">
        <v>115</v>
      </c>
      <c r="D78" s="136">
        <f>MIN(F78:K78)</f>
        <v>0</v>
      </c>
      <c r="E78" s="136">
        <f>MAX(F78:K78)</f>
        <v>1</v>
      </c>
      <c r="F78" s="136">
        <v>1</v>
      </c>
      <c r="G78" s="136">
        <v>1</v>
      </c>
      <c r="H78" s="136">
        <v>1</v>
      </c>
      <c r="I78" s="136">
        <v>0</v>
      </c>
      <c r="J78" s="136">
        <v>0</v>
      </c>
      <c r="K78" s="136">
        <v>0</v>
      </c>
    </row>
    <row r="79" spans="1:14" ht="78.75" hidden="1">
      <c r="A79" s="1"/>
      <c r="B79" s="142" t="s">
        <v>134</v>
      </c>
      <c r="C79" s="131"/>
      <c r="D79" s="132"/>
      <c r="E79" s="132"/>
      <c r="F79" s="132"/>
      <c r="G79" s="132"/>
      <c r="H79" s="132"/>
      <c r="I79" s="132"/>
      <c r="J79" s="132"/>
      <c r="K79" s="132"/>
    </row>
    <row r="80" spans="1:14" ht="165" hidden="1">
      <c r="A80" s="1"/>
      <c r="B80" s="134" t="s">
        <v>138</v>
      </c>
      <c r="C80" s="135" t="s">
        <v>131</v>
      </c>
      <c r="D80" s="136">
        <f>MIN(F80:K80)</f>
        <v>0</v>
      </c>
      <c r="E80" s="136">
        <f>MAX(F80:K80)</f>
        <v>0</v>
      </c>
      <c r="F80" s="136">
        <v>0</v>
      </c>
      <c r="G80" s="136">
        <v>0</v>
      </c>
      <c r="H80" s="136">
        <v>0</v>
      </c>
      <c r="I80" s="136">
        <v>0</v>
      </c>
      <c r="J80" s="136">
        <v>0</v>
      </c>
      <c r="K80" s="136">
        <v>0</v>
      </c>
    </row>
    <row r="81" spans="1:12" ht="180" hidden="1">
      <c r="A81" s="1"/>
      <c r="B81" s="134" t="s">
        <v>139</v>
      </c>
      <c r="C81" s="135" t="s">
        <v>132</v>
      </c>
      <c r="D81" s="136">
        <f>MIN(F81:K81)</f>
        <v>0</v>
      </c>
      <c r="E81" s="136">
        <f>MAX(F81:K81)</f>
        <v>0</v>
      </c>
      <c r="F81" s="136">
        <v>0</v>
      </c>
      <c r="G81" s="136">
        <v>0</v>
      </c>
      <c r="H81" s="136">
        <v>0</v>
      </c>
      <c r="I81" s="136">
        <v>0</v>
      </c>
      <c r="J81" s="136">
        <v>0</v>
      </c>
      <c r="K81" s="136">
        <v>0</v>
      </c>
    </row>
    <row r="82" spans="1:12" ht="165" hidden="1">
      <c r="A82" s="1"/>
      <c r="B82" s="134" t="s">
        <v>140</v>
      </c>
      <c r="C82" s="135" t="s">
        <v>133</v>
      </c>
      <c r="D82" s="136">
        <f>MIN(F82:K82)</f>
        <v>0</v>
      </c>
      <c r="E82" s="136">
        <f>MAX(F82:K82)</f>
        <v>0</v>
      </c>
      <c r="F82" s="136">
        <v>0</v>
      </c>
      <c r="G82" s="136">
        <v>0</v>
      </c>
      <c r="H82" s="136">
        <v>0</v>
      </c>
      <c r="I82" s="136">
        <v>0</v>
      </c>
      <c r="J82" s="136">
        <v>0</v>
      </c>
      <c r="K82" s="136">
        <v>0</v>
      </c>
    </row>
    <row r="83" spans="1:12" ht="165" hidden="1">
      <c r="A83" s="1"/>
      <c r="B83" s="134" t="s">
        <v>142</v>
      </c>
      <c r="C83" s="135" t="s">
        <v>141</v>
      </c>
      <c r="D83" s="136">
        <f>MIN(F83:K83)</f>
        <v>0</v>
      </c>
      <c r="E83" s="136">
        <f>MAX(F83:K83)</f>
        <v>0</v>
      </c>
      <c r="F83" s="136">
        <v>0</v>
      </c>
      <c r="G83" s="136">
        <v>0</v>
      </c>
      <c r="H83" s="136">
        <v>0</v>
      </c>
      <c r="I83" s="136">
        <v>0</v>
      </c>
      <c r="J83" s="136">
        <v>0</v>
      </c>
      <c r="K83" s="136">
        <v>0</v>
      </c>
    </row>
    <row r="84" spans="1:12" s="123" customFormat="1" ht="15.75">
      <c r="A84" s="122"/>
      <c r="B84" s="162" t="s">
        <v>78</v>
      </c>
      <c r="C84" s="163"/>
      <c r="D84" s="132"/>
      <c r="E84" s="132"/>
      <c r="F84" s="183"/>
      <c r="G84" s="183"/>
      <c r="H84" s="183"/>
      <c r="I84" s="183"/>
      <c r="J84" s="183"/>
      <c r="K84" s="183"/>
      <c r="L84" s="216"/>
    </row>
    <row r="85" spans="1:12" ht="54.75" customHeight="1">
      <c r="A85" s="1">
        <v>43</v>
      </c>
      <c r="B85" s="120" t="s">
        <v>208</v>
      </c>
      <c r="C85" s="121" t="s">
        <v>69</v>
      </c>
      <c r="D85" s="250" t="s">
        <v>105</v>
      </c>
      <c r="E85" s="251"/>
      <c r="F85" s="29">
        <v>1</v>
      </c>
      <c r="G85" s="29">
        <v>1</v>
      </c>
      <c r="H85" s="29">
        <v>1</v>
      </c>
      <c r="I85" s="29">
        <v>1</v>
      </c>
      <c r="J85" s="29">
        <v>1</v>
      </c>
      <c r="K85" s="29">
        <v>1</v>
      </c>
    </row>
    <row r="86" spans="1:12" ht="51">
      <c r="A86" s="1">
        <v>44</v>
      </c>
      <c r="B86" s="120" t="s">
        <v>209</v>
      </c>
      <c r="C86" s="121" t="s">
        <v>70</v>
      </c>
      <c r="D86" s="250" t="s">
        <v>106</v>
      </c>
      <c r="E86" s="251"/>
      <c r="F86" s="182">
        <v>0</v>
      </c>
      <c r="G86" s="182">
        <v>0</v>
      </c>
      <c r="H86" s="182">
        <v>0</v>
      </c>
      <c r="I86" s="182">
        <v>0</v>
      </c>
      <c r="J86" s="182">
        <v>0</v>
      </c>
      <c r="K86" s="182">
        <v>0</v>
      </c>
    </row>
    <row r="87" spans="1:12" ht="71.25" customHeight="1">
      <c r="A87" s="1">
        <v>45</v>
      </c>
      <c r="B87" s="120" t="s">
        <v>210</v>
      </c>
      <c r="C87" s="121" t="s">
        <v>71</v>
      </c>
      <c r="D87" s="250" t="s">
        <v>107</v>
      </c>
      <c r="E87" s="251"/>
      <c r="F87" s="181">
        <v>0</v>
      </c>
      <c r="G87" s="181">
        <v>0</v>
      </c>
      <c r="H87" s="181">
        <v>0</v>
      </c>
      <c r="I87" s="181">
        <v>0</v>
      </c>
      <c r="J87" s="181">
        <v>0</v>
      </c>
      <c r="K87" s="181">
        <v>0</v>
      </c>
    </row>
    <row r="88" spans="1:12" ht="54" customHeight="1">
      <c r="A88" s="1">
        <v>46</v>
      </c>
      <c r="B88" s="120" t="s">
        <v>211</v>
      </c>
      <c r="C88" s="121" t="s">
        <v>72</v>
      </c>
      <c r="D88" s="250" t="s">
        <v>108</v>
      </c>
      <c r="E88" s="251"/>
      <c r="F88" s="181">
        <v>0</v>
      </c>
      <c r="G88" s="181">
        <v>0</v>
      </c>
      <c r="H88" s="181">
        <v>0</v>
      </c>
      <c r="I88" s="181">
        <v>0</v>
      </c>
      <c r="J88" s="181">
        <v>0</v>
      </c>
      <c r="K88" s="181">
        <v>0</v>
      </c>
    </row>
    <row r="89" spans="1:12" ht="51" customHeight="1">
      <c r="A89" s="1">
        <v>47</v>
      </c>
      <c r="B89" s="120" t="s">
        <v>212</v>
      </c>
      <c r="C89" s="121" t="s">
        <v>83</v>
      </c>
      <c r="D89" s="250" t="s">
        <v>109</v>
      </c>
      <c r="E89" s="251"/>
      <c r="F89" s="181">
        <v>0</v>
      </c>
      <c r="G89" s="181">
        <v>0</v>
      </c>
      <c r="H89" s="181">
        <v>0</v>
      </c>
      <c r="I89" s="181">
        <v>0</v>
      </c>
      <c r="J89" s="181">
        <v>0</v>
      </c>
      <c r="K89" s="181">
        <v>0</v>
      </c>
    </row>
    <row r="91" spans="1:12" ht="27" customHeight="1">
      <c r="B91" s="249" t="s">
        <v>110</v>
      </c>
      <c r="C91" s="249"/>
      <c r="D91" s="249"/>
      <c r="E91" s="249"/>
      <c r="F91" s="164"/>
      <c r="G91" s="164"/>
      <c r="H91" s="164"/>
      <c r="I91" s="164"/>
      <c r="J91" s="164"/>
      <c r="K91" s="164"/>
    </row>
    <row r="92" spans="1:12" s="177" customFormat="1" ht="89.25" customHeight="1">
      <c r="B92" s="248" t="s">
        <v>125</v>
      </c>
      <c r="C92" s="248"/>
      <c r="D92" s="248"/>
      <c r="E92" s="248"/>
      <c r="F92" s="178"/>
      <c r="G92" s="178"/>
      <c r="H92" s="178"/>
      <c r="I92" s="178"/>
      <c r="J92" s="178"/>
      <c r="K92" s="178"/>
      <c r="L92" s="217"/>
    </row>
    <row r="93" spans="1:12" s="177" customFormat="1" ht="54.75" customHeight="1">
      <c r="B93" s="249" t="s">
        <v>126</v>
      </c>
      <c r="C93" s="249"/>
      <c r="D93" s="249"/>
      <c r="E93" s="249"/>
      <c r="F93" s="249"/>
      <c r="G93" s="249"/>
      <c r="H93" s="249"/>
      <c r="I93" s="249"/>
      <c r="J93" s="249"/>
      <c r="K93" s="249"/>
      <c r="L93" s="217"/>
    </row>
  </sheetData>
  <autoFilter ref="A5:K89"/>
  <customSheetViews>
    <customSheetView guid="{8ABC692A-193F-4EA9-A7E8-F3C636A6C39C}" showPageBreaks="1" filter="1" showAutoFilter="1" hiddenColumns="1" topLeftCell="B1">
      <pane xSplit="2" ySplit="5" topLeftCell="T19" activePane="bottomRight" state="frozen"/>
      <selection pane="bottomRight" activeCell="W74" sqref="W74"/>
      <pageMargins left="0" right="0" top="0.19685039370078741" bottom="0.19685039370078741" header="0" footer="0"/>
      <pageSetup paperSize="8" scale="75" orientation="landscape" r:id="rId1"/>
      <autoFilter ref="A5:AA83">
        <filterColumn colId="2">
          <filters>
            <filter val="1.1"/>
            <filter val="1.2"/>
            <filter val="1.5"/>
            <filter val="1.6"/>
            <filter val="2.1"/>
            <filter val="2.5"/>
            <filter val="2.9"/>
            <filter val="5.1"/>
            <filter val="5.2"/>
            <filter val="5.3"/>
            <filter val="5.4"/>
            <filter val="5.5"/>
            <filter val="5.6"/>
          </filters>
        </filterColumn>
      </autoFilter>
    </customSheetView>
    <customSheetView guid="{147A8583-3101-4745-816E-6D404CE92D5B}" showPageBreaks="1" showAutoFilter="1" hiddenColumns="1" topLeftCell="B1">
      <pane xSplit="2" ySplit="5" topLeftCell="D60" activePane="bottomRight" state="frozen"/>
      <selection pane="bottomRight" activeCell="X62" sqref="X62"/>
      <pageMargins left="0" right="0" top="0.19685039370078741" bottom="0.19685039370078741" header="0" footer="0"/>
      <pageSetup paperSize="8" scale="75" orientation="landscape" r:id="rId2"/>
      <autoFilter ref="A5:AA83"/>
    </customSheetView>
  </customSheetViews>
  <mergeCells count="11">
    <mergeCell ref="C2:K2"/>
    <mergeCell ref="B92:E92"/>
    <mergeCell ref="B93:E93"/>
    <mergeCell ref="F93:I93"/>
    <mergeCell ref="J93:K93"/>
    <mergeCell ref="D89:E89"/>
    <mergeCell ref="B91:E91"/>
    <mergeCell ref="D85:E85"/>
    <mergeCell ref="D86:E86"/>
    <mergeCell ref="D87:E87"/>
    <mergeCell ref="D88:E88"/>
  </mergeCells>
  <pageMargins left="0.23622047244094491" right="0" top="0.35433070866141736" bottom="0.35433070866141736" header="0.55118110236220474" footer="0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Листы</vt:lpstr>
      </vt:variant>
      <vt:variant>
        <vt:i4>6</vt:i4>
      </vt:variant>
      <vt:variant>
        <vt:lpstr>Диаграммы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Результат</vt:lpstr>
      <vt:lpstr>Расчет</vt:lpstr>
      <vt:lpstr>Нарушения БК</vt:lpstr>
      <vt:lpstr>Оценки</vt:lpstr>
      <vt:lpstr>Индикаторы</vt:lpstr>
      <vt:lpstr>Данные</vt:lpstr>
      <vt:lpstr>Рис1</vt:lpstr>
      <vt:lpstr>Данные!Заголовки_для_печати</vt:lpstr>
      <vt:lpstr>Индикаторы!Заголовки_для_печати</vt:lpstr>
      <vt:lpstr>'Нарушения БК'!Заголовки_для_печати</vt:lpstr>
      <vt:lpstr>Оценки!Заголовки_для_печати</vt:lpstr>
      <vt:lpstr>Данные!Область_печати</vt:lpstr>
    </vt:vector>
  </TitlesOfParts>
  <Company>cea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Pokatovich</dc:creator>
  <cp:lastModifiedBy>sitnikov1</cp:lastModifiedBy>
  <cp:lastPrinted>2017-10-26T07:18:12Z</cp:lastPrinted>
  <dcterms:created xsi:type="dcterms:W3CDTF">2010-12-18T23:19:43Z</dcterms:created>
  <dcterms:modified xsi:type="dcterms:W3CDTF">2017-10-26T07:28:57Z</dcterms:modified>
</cp:coreProperties>
</file>